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gmk.local\dane\BM\BM-06\BIP\ROK 2023-BIP\Sprawozdanie\"/>
    </mc:Choice>
  </mc:AlternateContent>
  <xr:revisionPtr revIDLastSave="0" documentId="13_ncr:1_{9C8DC838-B5B1-42CD-8309-39CD854D3529}" xr6:coauthVersionLast="36" xr6:coauthVersionMax="36" xr10:uidLastSave="{00000000-0000-0000-0000-000000000000}"/>
  <bookViews>
    <workbookView xWindow="0" yWindow="1380" windowWidth="12120" windowHeight="7860" tabRatio="599" xr2:uid="{00000000-000D-0000-FFFF-FFFF00000000}"/>
  </bookViews>
  <sheets>
    <sheet name="zał 6.1.2" sheetId="5" r:id="rId1"/>
  </sheets>
  <definedNames>
    <definedName name="_xlnm.Print_Area" localSheetId="0">'zał 6.1.2'!$A$1:$V$206</definedName>
    <definedName name="_xlnm.Print_Titles" localSheetId="0">'zał 6.1.2'!$3:$6</definedName>
  </definedNames>
  <calcPr calcId="191029"/>
</workbook>
</file>

<file path=xl/calcChain.xml><?xml version="1.0" encoding="utf-8"?>
<calcChain xmlns="http://schemas.openxmlformats.org/spreadsheetml/2006/main">
  <c r="L205" i="5" l="1"/>
  <c r="L209" i="5" l="1"/>
  <c r="K209" i="5"/>
  <c r="K210" i="5"/>
  <c r="K205" i="5"/>
  <c r="L210" i="5"/>
  <c r="J209" i="5" l="1"/>
  <c r="J210" i="5"/>
  <c r="J208" i="5" s="1"/>
  <c r="J213" i="5"/>
  <c r="K213" i="5"/>
  <c r="K214" i="5"/>
  <c r="K208" i="5"/>
  <c r="K212" i="5" l="1"/>
  <c r="J214" i="5"/>
  <c r="J212" i="5" s="1"/>
  <c r="V18" i="5" l="1"/>
  <c r="V16" i="5" s="1"/>
  <c r="V149" i="5"/>
  <c r="V206" i="5" s="1"/>
  <c r="V126" i="5"/>
  <c r="V119" i="5"/>
  <c r="V117" i="5" s="1"/>
  <c r="V111" i="5"/>
  <c r="V109" i="5" s="1"/>
  <c r="V106" i="5"/>
  <c r="V104" i="5" s="1"/>
  <c r="V99" i="5"/>
  <c r="V97" i="5" s="1"/>
  <c r="V67" i="5"/>
  <c r="V65" i="5" s="1"/>
  <c r="V60" i="5"/>
  <c r="V55" i="5"/>
  <c r="V43" i="5"/>
  <c r="Q149" i="5"/>
  <c r="Q10" i="5" s="1"/>
  <c r="Q126" i="5"/>
  <c r="Q119" i="5"/>
  <c r="Q117" i="5" s="1"/>
  <c r="Q111" i="5"/>
  <c r="Q109" i="5" s="1"/>
  <c r="Q106" i="5"/>
  <c r="Q104" i="5" s="1"/>
  <c r="Q99" i="5"/>
  <c r="Q97" i="5" s="1"/>
  <c r="Q67" i="5"/>
  <c r="Q65" i="5" s="1"/>
  <c r="Q60" i="5"/>
  <c r="Q57" i="5"/>
  <c r="Q55" i="5" s="1"/>
  <c r="Q18" i="5"/>
  <c r="Q16" i="5" s="1"/>
  <c r="Q13" i="5"/>
  <c r="Q11" i="5" s="1"/>
  <c r="L157" i="5"/>
  <c r="L156" i="5"/>
  <c r="L155" i="5"/>
  <c r="L154" i="5"/>
  <c r="L153" i="5"/>
  <c r="L152" i="5"/>
  <c r="L151" i="5"/>
  <c r="L150" i="5"/>
  <c r="L147" i="5"/>
  <c r="L146" i="5"/>
  <c r="L145" i="5"/>
  <c r="L144" i="5"/>
  <c r="L143" i="5"/>
  <c r="L142" i="5"/>
  <c r="L141" i="5"/>
  <c r="L140" i="5"/>
  <c r="L139" i="5"/>
  <c r="L138" i="5"/>
  <c r="L137" i="5"/>
  <c r="L136" i="5"/>
  <c r="L135" i="5"/>
  <c r="L134" i="5"/>
  <c r="L133" i="5"/>
  <c r="L132" i="5"/>
  <c r="L131" i="5"/>
  <c r="L130" i="5"/>
  <c r="L129" i="5"/>
  <c r="L128" i="5"/>
  <c r="L127" i="5"/>
  <c r="L123" i="5"/>
  <c r="L122" i="5"/>
  <c r="L121" i="5"/>
  <c r="L120" i="5"/>
  <c r="L113" i="5"/>
  <c r="L112" i="5"/>
  <c r="L111" i="5" s="1"/>
  <c r="L109" i="5" s="1"/>
  <c r="L108" i="5"/>
  <c r="L107" i="5"/>
  <c r="L101" i="5"/>
  <c r="L99" i="5" s="1"/>
  <c r="L97" i="5" s="1"/>
  <c r="L100" i="5"/>
  <c r="L94" i="5"/>
  <c r="L93" i="5"/>
  <c r="L92" i="5"/>
  <c r="L91" i="5"/>
  <c r="L90" i="5"/>
  <c r="L89" i="5"/>
  <c r="L88" i="5"/>
  <c r="L87" i="5"/>
  <c r="L86" i="5"/>
  <c r="L85" i="5"/>
  <c r="L84" i="5"/>
  <c r="L83" i="5"/>
  <c r="L82" i="5"/>
  <c r="L81" i="5"/>
  <c r="L80" i="5"/>
  <c r="L79" i="5"/>
  <c r="L78" i="5"/>
  <c r="L77" i="5"/>
  <c r="L76" i="5"/>
  <c r="L75" i="5"/>
  <c r="L74" i="5"/>
  <c r="L73" i="5"/>
  <c r="L72" i="5"/>
  <c r="L71" i="5"/>
  <c r="L70" i="5"/>
  <c r="L69" i="5"/>
  <c r="L68" i="5"/>
  <c r="L62" i="5"/>
  <c r="L61" i="5"/>
  <c r="L58" i="5"/>
  <c r="L57" i="5" s="1"/>
  <c r="L49" i="5"/>
  <c r="L48" i="5"/>
  <c r="L47" i="5"/>
  <c r="L46" i="5"/>
  <c r="L33" i="5"/>
  <c r="L32" i="5"/>
  <c r="L31" i="5"/>
  <c r="L30" i="5"/>
  <c r="L29" i="5"/>
  <c r="L28" i="5"/>
  <c r="L27" i="5"/>
  <c r="L26" i="5"/>
  <c r="L25" i="5"/>
  <c r="L24" i="5"/>
  <c r="L23" i="5"/>
  <c r="L22" i="5"/>
  <c r="L21" i="5"/>
  <c r="L20" i="5"/>
  <c r="L19" i="5"/>
  <c r="L14" i="5"/>
  <c r="J205" i="5"/>
  <c r="J206" i="5"/>
  <c r="J203" i="5"/>
  <c r="J173" i="5"/>
  <c r="J174" i="5"/>
  <c r="L119" i="5" l="1"/>
  <c r="L117" i="5" s="1"/>
  <c r="L106" i="5"/>
  <c r="L104" i="5" s="1"/>
  <c r="V10" i="5"/>
  <c r="L60" i="5"/>
  <c r="L18" i="5"/>
  <c r="Q206" i="5"/>
  <c r="L43" i="5"/>
  <c r="L206" i="5" s="1"/>
  <c r="L214" i="5" s="1"/>
  <c r="V205" i="5"/>
  <c r="V203" i="5" s="1"/>
  <c r="Q124" i="5"/>
  <c r="L149" i="5"/>
  <c r="L126" i="5"/>
  <c r="L124" i="5" s="1"/>
  <c r="L67" i="5"/>
  <c r="L65" i="5" s="1"/>
  <c r="Q9" i="5"/>
  <c r="Q7" i="5" s="1"/>
  <c r="V124" i="5"/>
  <c r="V9" i="5"/>
  <c r="Q205" i="5"/>
  <c r="Q203" i="5" s="1"/>
  <c r="L13" i="5"/>
  <c r="L11" i="5" s="1"/>
  <c r="L55" i="5"/>
  <c r="S140" i="5"/>
  <c r="T122" i="5"/>
  <c r="O132" i="5"/>
  <c r="S147" i="5"/>
  <c r="O145" i="5"/>
  <c r="O100" i="5"/>
  <c r="O89" i="5"/>
  <c r="O68" i="5"/>
  <c r="O21" i="5"/>
  <c r="O139" i="5"/>
  <c r="O127" i="5"/>
  <c r="O112" i="5"/>
  <c r="O91" i="5"/>
  <c r="O94" i="5"/>
  <c r="O81" i="5"/>
  <c r="O24" i="5"/>
  <c r="N94" i="5"/>
  <c r="V7" i="5" l="1"/>
  <c r="L10" i="5"/>
  <c r="L16" i="5"/>
  <c r="L208" i="5"/>
  <c r="L213" i="5"/>
  <c r="L212" i="5" s="1"/>
  <c r="L9" i="5"/>
  <c r="O150" i="5"/>
  <c r="O120" i="5"/>
  <c r="O107" i="5"/>
  <c r="O85" i="5"/>
  <c r="O73" i="5"/>
  <c r="O61" i="5"/>
  <c r="O58" i="5"/>
  <c r="O48" i="5"/>
  <c r="O46" i="5"/>
  <c r="O32" i="5"/>
  <c r="O26" i="5"/>
  <c r="O28" i="5"/>
  <c r="L7" i="5" l="1"/>
  <c r="L203" i="5"/>
  <c r="N89" i="5" l="1"/>
  <c r="O142" i="5"/>
  <c r="O92" i="5"/>
  <c r="O19" i="5"/>
  <c r="T83" i="5" l="1"/>
  <c r="N81" i="5" l="1"/>
  <c r="T108" i="5"/>
  <c r="I29" i="5" l="1"/>
  <c r="I31" i="5"/>
  <c r="I32" i="5"/>
  <c r="I33" i="5"/>
  <c r="I34" i="5"/>
  <c r="I35" i="5"/>
  <c r="I36" i="5"/>
  <c r="I37" i="5"/>
  <c r="I38" i="5"/>
  <c r="I39" i="5"/>
  <c r="I40" i="5"/>
  <c r="I53" i="5"/>
  <c r="I52" i="5"/>
  <c r="I51" i="5"/>
  <c r="I50" i="5"/>
  <c r="I48" i="5"/>
  <c r="I47" i="5"/>
  <c r="I46" i="5"/>
  <c r="J49" i="5"/>
  <c r="M43" i="5"/>
  <c r="P48" i="5"/>
  <c r="M28" i="5"/>
  <c r="M18" i="5" s="1"/>
  <c r="M99" i="5"/>
  <c r="M16" i="5" l="1"/>
  <c r="I49" i="5"/>
  <c r="I43" i="5" s="1"/>
  <c r="P63" i="5"/>
  <c r="P61" i="5"/>
  <c r="P50" i="5"/>
  <c r="P51" i="5"/>
  <c r="P52" i="5"/>
  <c r="P53" i="5"/>
  <c r="P41" i="5"/>
  <c r="P40" i="5"/>
  <c r="P39" i="5"/>
  <c r="P38" i="5"/>
  <c r="P37" i="5"/>
  <c r="P36" i="5"/>
  <c r="P35" i="5"/>
  <c r="P34" i="5"/>
  <c r="P32" i="5"/>
  <c r="P29" i="5"/>
  <c r="P28" i="5"/>
  <c r="P27" i="5"/>
  <c r="P26" i="5"/>
  <c r="P25" i="5"/>
  <c r="P24" i="5"/>
  <c r="P23" i="5"/>
  <c r="P21" i="5"/>
  <c r="P19" i="5"/>
  <c r="U20" i="5"/>
  <c r="U74" i="5"/>
  <c r="P150" i="5"/>
  <c r="P146" i="5"/>
  <c r="P145" i="5"/>
  <c r="P143" i="5"/>
  <c r="P142" i="5"/>
  <c r="P141" i="5"/>
  <c r="P140" i="5"/>
  <c r="P139" i="5"/>
  <c r="P138" i="5"/>
  <c r="P137" i="5"/>
  <c r="P136" i="5"/>
  <c r="P135" i="5"/>
  <c r="P134" i="5"/>
  <c r="P133" i="5"/>
  <c r="P132" i="5"/>
  <c r="P131" i="5"/>
  <c r="P128" i="5"/>
  <c r="P127" i="5"/>
  <c r="P121" i="5"/>
  <c r="P96" i="5"/>
  <c r="P95" i="5"/>
  <c r="P94" i="5"/>
  <c r="P93" i="5"/>
  <c r="P92" i="5"/>
  <c r="P91" i="5"/>
  <c r="P89" i="5"/>
  <c r="P88" i="5"/>
  <c r="P87" i="5"/>
  <c r="P86" i="5"/>
  <c r="P85" i="5"/>
  <c r="P84" i="5"/>
  <c r="P82" i="5"/>
  <c r="P81" i="5"/>
  <c r="P80" i="5"/>
  <c r="P79" i="5"/>
  <c r="P78" i="5"/>
  <c r="P77" i="5"/>
  <c r="P76" i="5"/>
  <c r="P74" i="5"/>
  <c r="K74" i="5" s="1"/>
  <c r="P73" i="5"/>
  <c r="P72" i="5"/>
  <c r="P71" i="5"/>
  <c r="P69" i="5"/>
  <c r="P68" i="5"/>
  <c r="P100" i="5"/>
  <c r="P120" i="5"/>
  <c r="P112" i="5"/>
  <c r="U29" i="5"/>
  <c r="I123" i="5"/>
  <c r="I82" i="5"/>
  <c r="R67" i="5"/>
  <c r="I93" i="5"/>
  <c r="I74" i="5"/>
  <c r="K19" i="5" l="1"/>
  <c r="K29" i="5"/>
  <c r="T119" i="5" l="1"/>
  <c r="O119" i="5"/>
  <c r="U123" i="5"/>
  <c r="K123" i="5" s="1"/>
  <c r="S119" i="5"/>
  <c r="R119" i="5"/>
  <c r="N119" i="5"/>
  <c r="M119" i="5"/>
  <c r="K93" i="5" l="1"/>
  <c r="T60" i="5" l="1"/>
  <c r="R60" i="5"/>
  <c r="U143" i="5" l="1"/>
  <c r="K143" i="5" s="1"/>
  <c r="T149" i="5"/>
  <c r="T206" i="5" s="1"/>
  <c r="S149" i="5"/>
  <c r="R149" i="5"/>
  <c r="U84" i="5"/>
  <c r="K84" i="5" s="1"/>
  <c r="I146" i="5" l="1"/>
  <c r="I147" i="5"/>
  <c r="U151" i="5"/>
  <c r="U152" i="5"/>
  <c r="U153" i="5"/>
  <c r="U154" i="5"/>
  <c r="U155" i="5"/>
  <c r="U156" i="5"/>
  <c r="U159" i="5"/>
  <c r="I69" i="5"/>
  <c r="I86" i="5"/>
  <c r="U22" i="5"/>
  <c r="I22" i="5"/>
  <c r="R43" i="5"/>
  <c r="R206" i="5" s="1"/>
  <c r="K86" i="5" l="1"/>
  <c r="K22" i="5"/>
  <c r="I62" i="5" l="1"/>
  <c r="U62" i="5"/>
  <c r="K62" i="5" s="1"/>
  <c r="I134" i="5" l="1"/>
  <c r="I128" i="5"/>
  <c r="K134" i="5"/>
  <c r="U128" i="5"/>
  <c r="K128" i="5" s="1"/>
  <c r="I108" i="5"/>
  <c r="T126" i="5" l="1"/>
  <c r="S126" i="5"/>
  <c r="R126" i="5"/>
  <c r="O126" i="5"/>
  <c r="N126" i="5"/>
  <c r="M126" i="5"/>
  <c r="U147" i="5"/>
  <c r="K147" i="5" s="1"/>
  <c r="U25" i="5"/>
  <c r="K25" i="5" s="1"/>
  <c r="I25" i="5"/>
  <c r="K20" i="5" l="1"/>
  <c r="U59" i="5"/>
  <c r="T106" i="5" l="1"/>
  <c r="S106" i="5"/>
  <c r="R106" i="5"/>
  <c r="O106" i="5"/>
  <c r="N106" i="5"/>
  <c r="M106" i="5"/>
  <c r="M104" i="5" s="1"/>
  <c r="U108" i="5"/>
  <c r="K108" i="5" s="1"/>
  <c r="K88" i="5" l="1"/>
  <c r="I107" i="5" l="1"/>
  <c r="I106" i="5" s="1"/>
  <c r="P107" i="5"/>
  <c r="P106" i="5" s="1"/>
  <c r="P104" i="5" s="1"/>
  <c r="U106" i="5"/>
  <c r="U104" i="5" s="1"/>
  <c r="T104" i="5"/>
  <c r="S104" i="5"/>
  <c r="R104" i="5"/>
  <c r="O104" i="5"/>
  <c r="N104" i="5"/>
  <c r="I129" i="5"/>
  <c r="M111" i="5"/>
  <c r="I104" i="5" l="1"/>
  <c r="K107" i="5"/>
  <c r="K106" i="5" s="1"/>
  <c r="I90" i="5"/>
  <c r="I24" i="5"/>
  <c r="R18" i="5"/>
  <c r="K104" i="5" l="1"/>
  <c r="K24" i="5"/>
  <c r="I158" i="5" l="1"/>
  <c r="I159" i="5"/>
  <c r="I41" i="5"/>
  <c r="U131" i="5" l="1"/>
  <c r="K131" i="5" s="1"/>
  <c r="I131" i="5"/>
  <c r="U49" i="5"/>
  <c r="K49" i="5" s="1"/>
  <c r="U129" i="5" l="1"/>
  <c r="K129" i="5" s="1"/>
  <c r="U146" i="5" l="1"/>
  <c r="K146" i="5" s="1"/>
  <c r="U82" i="5" l="1"/>
  <c r="U90" i="5"/>
  <c r="K82" i="5" l="1"/>
  <c r="K90" i="5"/>
  <c r="U50" i="5"/>
  <c r="T183" i="5" l="1"/>
  <c r="S183" i="5"/>
  <c r="R183" i="5"/>
  <c r="O183" i="5"/>
  <c r="N183" i="5"/>
  <c r="M183" i="5"/>
  <c r="O178" i="5"/>
  <c r="U157" i="5"/>
  <c r="K157" i="5" s="1"/>
  <c r="U41" i="5"/>
  <c r="K41" i="5" s="1"/>
  <c r="T18" i="5"/>
  <c r="S18" i="5"/>
  <c r="O18" i="5"/>
  <c r="N18" i="5"/>
  <c r="U31" i="5" l="1"/>
  <c r="K31" i="5" s="1"/>
  <c r="K159" i="5" l="1"/>
  <c r="O149" i="5"/>
  <c r="N149" i="5"/>
  <c r="M149" i="5"/>
  <c r="I144" i="5" l="1"/>
  <c r="U144" i="5"/>
  <c r="I151" i="5"/>
  <c r="I152" i="5"/>
  <c r="I153" i="5"/>
  <c r="I154" i="5"/>
  <c r="I155" i="5"/>
  <c r="I156" i="5"/>
  <c r="K153" i="5"/>
  <c r="K155" i="5"/>
  <c r="K151" i="5"/>
  <c r="K156" i="5" l="1"/>
  <c r="K154" i="5"/>
  <c r="K152" i="5"/>
  <c r="K144" i="5"/>
  <c r="U78" i="5"/>
  <c r="I78" i="5"/>
  <c r="I89" i="5"/>
  <c r="K78" i="5" l="1"/>
  <c r="U47" i="5"/>
  <c r="K47" i="5" s="1"/>
  <c r="U96" i="5" l="1"/>
  <c r="P59" i="5"/>
  <c r="K59" i="5" s="1"/>
  <c r="U158" i="5" l="1"/>
  <c r="K158" i="5" l="1"/>
  <c r="U149" i="5"/>
  <c r="K141" i="5" l="1"/>
  <c r="U95" i="5" l="1"/>
  <c r="O13" i="5"/>
  <c r="N13" i="5"/>
  <c r="K95" i="5" l="1"/>
  <c r="U53" i="5"/>
  <c r="R16" i="5"/>
  <c r="N43" i="5"/>
  <c r="O43" i="5"/>
  <c r="K53" i="5" l="1"/>
  <c r="U69" i="5"/>
  <c r="K69" i="5" l="1"/>
  <c r="M60" i="5" l="1"/>
  <c r="M206" i="5" s="1"/>
  <c r="I63" i="5"/>
  <c r="S60" i="5"/>
  <c r="S206" i="5" s="1"/>
  <c r="O60" i="5"/>
  <c r="O206" i="5" s="1"/>
  <c r="N60" i="5"/>
  <c r="N206" i="5" s="1"/>
  <c r="K138" i="5"/>
  <c r="I138" i="5"/>
  <c r="I137" i="5"/>
  <c r="U122" i="5"/>
  <c r="I122" i="5"/>
  <c r="P103" i="5"/>
  <c r="P102" i="5"/>
  <c r="U103" i="5"/>
  <c r="U102" i="5"/>
  <c r="U101" i="5"/>
  <c r="T99" i="5"/>
  <c r="S99" i="5"/>
  <c r="O99" i="5"/>
  <c r="N99" i="5"/>
  <c r="I101" i="5"/>
  <c r="I102" i="5"/>
  <c r="I103" i="5"/>
  <c r="I87" i="5"/>
  <c r="U75" i="5"/>
  <c r="I75" i="5"/>
  <c r="U63" i="5"/>
  <c r="U60" i="5" s="1"/>
  <c r="U51" i="5"/>
  <c r="K51" i="5" s="1"/>
  <c r="U52" i="5"/>
  <c r="U36" i="5"/>
  <c r="U33" i="5"/>
  <c r="U23" i="5"/>
  <c r="I23" i="5"/>
  <c r="K36" i="5" l="1"/>
  <c r="P99" i="5"/>
  <c r="K137" i="5"/>
  <c r="K63" i="5"/>
  <c r="K52" i="5"/>
  <c r="K122" i="5"/>
  <c r="K102" i="5"/>
  <c r="K100" i="5"/>
  <c r="K101" i="5"/>
  <c r="K103" i="5"/>
  <c r="K87" i="5"/>
  <c r="U99" i="5"/>
  <c r="R99" i="5"/>
  <c r="K75" i="5"/>
  <c r="K33" i="5"/>
  <c r="K23" i="5"/>
  <c r="U34" i="5"/>
  <c r="U35" i="5"/>
  <c r="M186" i="5"/>
  <c r="K99" i="5" l="1"/>
  <c r="K35" i="5"/>
  <c r="K34" i="5"/>
  <c r="U70" i="5" l="1"/>
  <c r="K70" i="5" s="1"/>
  <c r="U38" i="5" l="1"/>
  <c r="K38" i="5" s="1"/>
  <c r="U39" i="5"/>
  <c r="K39" i="5" s="1"/>
  <c r="U40" i="5"/>
  <c r="K40" i="5" s="1"/>
  <c r="O188" i="5"/>
  <c r="O182" i="5"/>
  <c r="U182" i="5"/>
  <c r="T182" i="5"/>
  <c r="S182" i="5"/>
  <c r="R182" i="5"/>
  <c r="N182" i="5"/>
  <c r="M182" i="5"/>
  <c r="J182" i="5"/>
  <c r="I182" i="5"/>
  <c r="P182" i="5"/>
  <c r="V182" i="5" l="1"/>
  <c r="T188" i="5"/>
  <c r="S188" i="5"/>
  <c r="R188" i="5"/>
  <c r="M188" i="5"/>
  <c r="T189" i="5"/>
  <c r="S189" i="5"/>
  <c r="R189" i="5"/>
  <c r="O189" i="5"/>
  <c r="N189" i="5"/>
  <c r="M189" i="5"/>
  <c r="J189" i="5"/>
  <c r="J188" i="5"/>
  <c r="I27" i="5" l="1"/>
  <c r="I28" i="5"/>
  <c r="I189" i="5"/>
  <c r="I26" i="5"/>
  <c r="I72" i="5"/>
  <c r="I80" i="5"/>
  <c r="I76" i="5"/>
  <c r="I77" i="5"/>
  <c r="S191" i="5"/>
  <c r="T191" i="5"/>
  <c r="R191" i="5"/>
  <c r="T190" i="5"/>
  <c r="S190" i="5"/>
  <c r="R190" i="5"/>
  <c r="O191" i="5"/>
  <c r="O190" i="5"/>
  <c r="N191" i="5"/>
  <c r="N190" i="5"/>
  <c r="M191" i="5"/>
  <c r="M190" i="5"/>
  <c r="J190" i="5"/>
  <c r="J191" i="5"/>
  <c r="U80" i="5"/>
  <c r="U72" i="5"/>
  <c r="U76" i="5"/>
  <c r="U77" i="5"/>
  <c r="M67" i="5"/>
  <c r="P190" i="5"/>
  <c r="K77" i="5" l="1"/>
  <c r="K80" i="5"/>
  <c r="K76" i="5"/>
  <c r="K72" i="5"/>
  <c r="U27" i="5" l="1"/>
  <c r="K27" i="5" l="1"/>
  <c r="T178" i="5" l="1"/>
  <c r="S178" i="5"/>
  <c r="R178" i="5"/>
  <c r="T177" i="5"/>
  <c r="S177" i="5"/>
  <c r="R177" i="5"/>
  <c r="O177" i="5"/>
  <c r="N177" i="5"/>
  <c r="M177" i="5"/>
  <c r="J177" i="5"/>
  <c r="U15" i="5"/>
  <c r="K15" i="5" s="1"/>
  <c r="U14" i="5"/>
  <c r="S13" i="5"/>
  <c r="T13" i="5"/>
  <c r="R13" i="5"/>
  <c r="T184" i="5"/>
  <c r="S184" i="5"/>
  <c r="R184" i="5"/>
  <c r="O184" i="5"/>
  <c r="N184" i="5"/>
  <c r="M184" i="5"/>
  <c r="J184" i="5"/>
  <c r="U13" i="5" l="1"/>
  <c r="K26" i="5" l="1"/>
  <c r="S186" i="5" l="1"/>
  <c r="R186" i="5"/>
  <c r="S185" i="5"/>
  <c r="I130" i="5" l="1"/>
  <c r="U130" i="5"/>
  <c r="K130" i="5" s="1"/>
  <c r="I71" i="5"/>
  <c r="I190" i="5" s="1"/>
  <c r="U71" i="5"/>
  <c r="K71" i="5" l="1"/>
  <c r="V190" i="5" s="1"/>
  <c r="U190" i="5"/>
  <c r="I164" i="5" l="1"/>
  <c r="I163" i="5"/>
  <c r="I150" i="5"/>
  <c r="I149" i="5" s="1"/>
  <c r="I145" i="5"/>
  <c r="I142" i="5"/>
  <c r="I140" i="5"/>
  <c r="I139" i="5"/>
  <c r="I136" i="5"/>
  <c r="I191" i="5" s="1"/>
  <c r="I135" i="5"/>
  <c r="I133" i="5"/>
  <c r="I132" i="5"/>
  <c r="I127" i="5"/>
  <c r="I121" i="5"/>
  <c r="I120" i="5"/>
  <c r="I115" i="5"/>
  <c r="I114" i="5"/>
  <c r="I113" i="5"/>
  <c r="I184" i="5" s="1"/>
  <c r="I112" i="5"/>
  <c r="I100" i="5"/>
  <c r="I99" i="5" s="1"/>
  <c r="I73" i="5"/>
  <c r="I79" i="5"/>
  <c r="I81" i="5"/>
  <c r="I83" i="5"/>
  <c r="I85" i="5"/>
  <c r="I91" i="5"/>
  <c r="I92" i="5"/>
  <c r="I94" i="5"/>
  <c r="I96" i="5"/>
  <c r="I68" i="5"/>
  <c r="I61" i="5"/>
  <c r="I60" i="5" s="1"/>
  <c r="I58" i="5"/>
  <c r="I21" i="5"/>
  <c r="I19" i="5"/>
  <c r="I18" i="5" s="1"/>
  <c r="I206" i="5" l="1"/>
  <c r="I119" i="5"/>
  <c r="I126" i="5"/>
  <c r="I67" i="5"/>
  <c r="I111" i="5"/>
  <c r="I109" i="5" s="1"/>
  <c r="I183" i="5"/>
  <c r="I188" i="5"/>
  <c r="I178" i="5"/>
  <c r="U164" i="5"/>
  <c r="K164" i="5" s="1"/>
  <c r="U163" i="5"/>
  <c r="K163" i="5" s="1"/>
  <c r="T162" i="5"/>
  <c r="S162" i="5"/>
  <c r="R162" i="5"/>
  <c r="P162" i="5"/>
  <c r="P160" i="5" s="1"/>
  <c r="O162" i="5"/>
  <c r="O160" i="5" s="1"/>
  <c r="N162" i="5"/>
  <c r="N160" i="5" s="1"/>
  <c r="M162" i="5"/>
  <c r="M160" i="5" s="1"/>
  <c r="I162" i="5"/>
  <c r="I160" i="5" s="1"/>
  <c r="P149" i="5"/>
  <c r="U191" i="5"/>
  <c r="K127" i="5"/>
  <c r="P191" i="5"/>
  <c r="U121" i="5"/>
  <c r="I117" i="5"/>
  <c r="U113" i="5"/>
  <c r="U114" i="5"/>
  <c r="U115" i="5"/>
  <c r="P184" i="5"/>
  <c r="P186" i="5"/>
  <c r="T111" i="5"/>
  <c r="S111" i="5"/>
  <c r="R111" i="5"/>
  <c r="R205" i="5" s="1"/>
  <c r="R203" i="5" s="1"/>
  <c r="O111" i="5"/>
  <c r="N111" i="5"/>
  <c r="K97" i="5"/>
  <c r="T97" i="5"/>
  <c r="S97" i="5"/>
  <c r="R97" i="5"/>
  <c r="U97" i="5"/>
  <c r="I97" i="5"/>
  <c r="U79" i="5"/>
  <c r="K79" i="5" s="1"/>
  <c r="U83" i="5"/>
  <c r="K68" i="5"/>
  <c r="U184" i="5" l="1"/>
  <c r="U119" i="5"/>
  <c r="U117" i="5" s="1"/>
  <c r="K120" i="5"/>
  <c r="P119" i="5"/>
  <c r="P117" i="5" s="1"/>
  <c r="I16" i="5"/>
  <c r="U126" i="5"/>
  <c r="P126" i="5"/>
  <c r="R9" i="5"/>
  <c r="R174" i="5" s="1"/>
  <c r="T117" i="5"/>
  <c r="K112" i="5"/>
  <c r="T160" i="5"/>
  <c r="K150" i="5"/>
  <c r="K149" i="5" s="1"/>
  <c r="K113" i="5"/>
  <c r="K115" i="5"/>
  <c r="M109" i="5"/>
  <c r="R109" i="5"/>
  <c r="R124" i="5"/>
  <c r="K142" i="5"/>
  <c r="K139" i="5"/>
  <c r="K140" i="5"/>
  <c r="K135" i="5"/>
  <c r="K132" i="5"/>
  <c r="K136" i="5"/>
  <c r="V191" i="5" s="1"/>
  <c r="M117" i="5"/>
  <c r="V186" i="5"/>
  <c r="U162" i="5"/>
  <c r="U160" i="5" s="1"/>
  <c r="R160" i="5"/>
  <c r="I124" i="5"/>
  <c r="M124" i="5"/>
  <c r="P97" i="5"/>
  <c r="N97" i="5"/>
  <c r="O109" i="5"/>
  <c r="N124" i="5"/>
  <c r="K133" i="5"/>
  <c r="T109" i="5"/>
  <c r="P111" i="5"/>
  <c r="P109" i="5" s="1"/>
  <c r="U111" i="5"/>
  <c r="U109" i="5" s="1"/>
  <c r="K114" i="5"/>
  <c r="V185" i="5" s="1"/>
  <c r="N117" i="5"/>
  <c r="R117" i="5"/>
  <c r="K121" i="5"/>
  <c r="T124" i="5"/>
  <c r="S124" i="5"/>
  <c r="K145" i="5"/>
  <c r="K162" i="5"/>
  <c r="K160" i="5" s="1"/>
  <c r="M97" i="5"/>
  <c r="O97" i="5"/>
  <c r="N109" i="5"/>
  <c r="S109" i="5"/>
  <c r="S117" i="5"/>
  <c r="S160" i="5"/>
  <c r="O124" i="5"/>
  <c r="O117" i="5"/>
  <c r="K81" i="5"/>
  <c r="K83" i="5"/>
  <c r="K85" i="5"/>
  <c r="K89" i="5"/>
  <c r="K91" i="5"/>
  <c r="K92" i="5"/>
  <c r="K94" i="5"/>
  <c r="K96" i="5"/>
  <c r="U67" i="5"/>
  <c r="T67" i="5"/>
  <c r="T9" i="5" s="1"/>
  <c r="T174" i="5" s="1"/>
  <c r="S67" i="5"/>
  <c r="S65" i="5" s="1"/>
  <c r="O67" i="5"/>
  <c r="N67" i="5"/>
  <c r="I65" i="5"/>
  <c r="P60" i="5"/>
  <c r="P58" i="5"/>
  <c r="K58" i="5" s="1"/>
  <c r="K57" i="5" s="1"/>
  <c r="S55" i="5"/>
  <c r="T55" i="5"/>
  <c r="R55" i="5"/>
  <c r="O57" i="5"/>
  <c r="N57" i="5"/>
  <c r="M57" i="5"/>
  <c r="I57" i="5"/>
  <c r="I55" i="5" s="1"/>
  <c r="U55" i="5"/>
  <c r="N55" i="5"/>
  <c r="P14" i="5"/>
  <c r="P13" i="5" s="1"/>
  <c r="T11" i="5"/>
  <c r="M13" i="5"/>
  <c r="U11" i="5"/>
  <c r="S11" i="5"/>
  <c r="I13" i="5"/>
  <c r="I11" i="5" s="1"/>
  <c r="U37" i="5"/>
  <c r="U189" i="5" s="1"/>
  <c r="U30" i="5"/>
  <c r="P46" i="5"/>
  <c r="P43" i="5" s="1"/>
  <c r="P189" i="5"/>
  <c r="N16" i="5"/>
  <c r="S10" i="5"/>
  <c r="S175" i="5" s="1"/>
  <c r="M178" i="5"/>
  <c r="O187" i="5"/>
  <c r="O185" i="5"/>
  <c r="O186" i="5"/>
  <c r="N178" i="5"/>
  <c r="N179" i="5" s="1"/>
  <c r="T185" i="5"/>
  <c r="T186" i="5"/>
  <c r="T187" i="5"/>
  <c r="T192" i="5"/>
  <c r="T193" i="5"/>
  <c r="T194" i="5"/>
  <c r="T195" i="5"/>
  <c r="V187" i="5"/>
  <c r="U185" i="5"/>
  <c r="I187" i="5"/>
  <c r="M187" i="5"/>
  <c r="N187" i="5"/>
  <c r="P187" i="5"/>
  <c r="R187" i="5"/>
  <c r="S187" i="5"/>
  <c r="U187" i="5"/>
  <c r="J178" i="5"/>
  <c r="J179" i="5" s="1"/>
  <c r="J180" i="5" s="1"/>
  <c r="J183" i="5"/>
  <c r="J185" i="5"/>
  <c r="J186" i="5"/>
  <c r="J187" i="5"/>
  <c r="M185" i="5"/>
  <c r="N185" i="5"/>
  <c r="N186" i="5"/>
  <c r="P185" i="5"/>
  <c r="R185" i="5"/>
  <c r="U186" i="5"/>
  <c r="I185" i="5"/>
  <c r="I186" i="5"/>
  <c r="I165" i="5"/>
  <c r="I192" i="5"/>
  <c r="I193" i="5"/>
  <c r="I194" i="5"/>
  <c r="I195" i="5"/>
  <c r="V192" i="5"/>
  <c r="V193" i="5"/>
  <c r="V194" i="5"/>
  <c r="U165" i="5"/>
  <c r="K165" i="5" s="1"/>
  <c r="U192" i="5"/>
  <c r="S192" i="5"/>
  <c r="R192" i="5"/>
  <c r="P192" i="5"/>
  <c r="O192" i="5"/>
  <c r="N192" i="5"/>
  <c r="M192" i="5"/>
  <c r="J192" i="5"/>
  <c r="R193" i="5"/>
  <c r="R194" i="5"/>
  <c r="R195" i="5"/>
  <c r="J175" i="5"/>
  <c r="J193" i="5"/>
  <c r="J194" i="5"/>
  <c r="J195" i="5"/>
  <c r="M193" i="5"/>
  <c r="M194" i="5"/>
  <c r="M195" i="5"/>
  <c r="N193" i="5"/>
  <c r="N194" i="5"/>
  <c r="N195" i="5"/>
  <c r="O193" i="5"/>
  <c r="O194" i="5"/>
  <c r="O195" i="5"/>
  <c r="P193" i="5"/>
  <c r="P194" i="5"/>
  <c r="P195" i="5"/>
  <c r="S193" i="5"/>
  <c r="S194" i="5"/>
  <c r="S195" i="5"/>
  <c r="U193" i="5"/>
  <c r="U194" i="5"/>
  <c r="U167" i="5"/>
  <c r="U168" i="5"/>
  <c r="U169" i="5"/>
  <c r="U170" i="5"/>
  <c r="P167" i="5"/>
  <c r="P168" i="5"/>
  <c r="P169" i="5"/>
  <c r="P170" i="5"/>
  <c r="H111" i="5"/>
  <c r="H109" i="5" s="1"/>
  <c r="H67" i="5"/>
  <c r="H65" i="5" s="1"/>
  <c r="H119" i="5"/>
  <c r="H117" i="5" s="1"/>
  <c r="H126" i="5"/>
  <c r="H57" i="5"/>
  <c r="H99" i="5"/>
  <c r="H97" i="5" s="1"/>
  <c r="H154" i="5"/>
  <c r="H152" i="5" s="1"/>
  <c r="H149" i="5"/>
  <c r="H60" i="5"/>
  <c r="G111" i="5"/>
  <c r="G109" i="5" s="1"/>
  <c r="F111" i="5"/>
  <c r="F109" i="5" s="1"/>
  <c r="G154" i="5"/>
  <c r="G152" i="5" s="1"/>
  <c r="G149" i="5"/>
  <c r="G126" i="5"/>
  <c r="G119" i="5"/>
  <c r="G117" i="5" s="1"/>
  <c r="G99" i="5"/>
  <c r="G97" i="5" s="1"/>
  <c r="G67" i="5"/>
  <c r="G65" i="5" s="1"/>
  <c r="G60" i="5"/>
  <c r="G57" i="5"/>
  <c r="F149" i="5"/>
  <c r="F57" i="5"/>
  <c r="F99" i="5"/>
  <c r="F97" i="5" s="1"/>
  <c r="F154" i="5"/>
  <c r="F152" i="5" s="1"/>
  <c r="F60" i="5"/>
  <c r="O10" i="5"/>
  <c r="O175" i="5" s="1"/>
  <c r="T10" i="5"/>
  <c r="T175" i="5" s="1"/>
  <c r="M205" i="5" l="1"/>
  <c r="M203" i="5" s="1"/>
  <c r="O205" i="5"/>
  <c r="O203" i="5" s="1"/>
  <c r="U195" i="5"/>
  <c r="I177" i="5"/>
  <c r="I179" i="5" s="1"/>
  <c r="I200" i="5" s="1"/>
  <c r="I172" i="5"/>
  <c r="N205" i="5"/>
  <c r="N203" i="5" s="1"/>
  <c r="P206" i="5"/>
  <c r="I205" i="5"/>
  <c r="I203" i="5" s="1"/>
  <c r="I9" i="5"/>
  <c r="I174" i="5" s="1"/>
  <c r="S205" i="5"/>
  <c r="S203" i="5" s="1"/>
  <c r="T205" i="5"/>
  <c r="T203" i="5" s="1"/>
  <c r="H16" i="5"/>
  <c r="V184" i="5"/>
  <c r="K119" i="5"/>
  <c r="U124" i="5"/>
  <c r="K126" i="5"/>
  <c r="M9" i="5"/>
  <c r="M174" i="5" s="1"/>
  <c r="V195" i="5"/>
  <c r="O9" i="5"/>
  <c r="O174" i="5" s="1"/>
  <c r="N9" i="5"/>
  <c r="N174" i="5" s="1"/>
  <c r="S9" i="5"/>
  <c r="S174" i="5" s="1"/>
  <c r="U65" i="5"/>
  <c r="P18" i="5"/>
  <c r="U18" i="5"/>
  <c r="U9" i="5" s="1"/>
  <c r="U174" i="5" s="1"/>
  <c r="U183" i="5"/>
  <c r="U197" i="5" s="1"/>
  <c r="U178" i="5"/>
  <c r="T201" i="5"/>
  <c r="O201" i="5"/>
  <c r="K73" i="5"/>
  <c r="K67" i="5" s="1"/>
  <c r="P183" i="5"/>
  <c r="P197" i="5" s="1"/>
  <c r="G55" i="5"/>
  <c r="G10" i="5"/>
  <c r="H10" i="5"/>
  <c r="P188" i="5"/>
  <c r="P198" i="5" s="1"/>
  <c r="F10" i="5"/>
  <c r="F170" i="5" s="1"/>
  <c r="F119" i="5"/>
  <c r="F117" i="5" s="1"/>
  <c r="U43" i="5"/>
  <c r="P11" i="5"/>
  <c r="K13" i="5"/>
  <c r="P10" i="5"/>
  <c r="P175" i="5" s="1"/>
  <c r="P57" i="5"/>
  <c r="P55" i="5" s="1"/>
  <c r="K61" i="5"/>
  <c r="K60" i="5" s="1"/>
  <c r="K46" i="5"/>
  <c r="M11" i="5"/>
  <c r="F55" i="5"/>
  <c r="F67" i="5"/>
  <c r="F65" i="5" s="1"/>
  <c r="F16" i="5"/>
  <c r="G16" i="5"/>
  <c r="G124" i="5"/>
  <c r="H55" i="5"/>
  <c r="H124" i="5"/>
  <c r="S16" i="5"/>
  <c r="N11" i="5"/>
  <c r="U188" i="5"/>
  <c r="G9" i="5"/>
  <c r="J201" i="5"/>
  <c r="T196" i="5"/>
  <c r="O202" i="5"/>
  <c r="J200" i="5"/>
  <c r="R201" i="5"/>
  <c r="N201" i="5"/>
  <c r="S201" i="5"/>
  <c r="M201" i="5"/>
  <c r="I201" i="5"/>
  <c r="S202" i="5"/>
  <c r="P177" i="5"/>
  <c r="K14" i="5"/>
  <c r="P124" i="5"/>
  <c r="U177" i="5"/>
  <c r="H9" i="5"/>
  <c r="H7" i="5" s="1"/>
  <c r="I197" i="5"/>
  <c r="J197" i="5"/>
  <c r="J202" i="5"/>
  <c r="K111" i="5"/>
  <c r="K109" i="5" s="1"/>
  <c r="R179" i="5"/>
  <c r="R200" i="5" s="1"/>
  <c r="R65" i="5"/>
  <c r="J196" i="5"/>
  <c r="J198" i="5"/>
  <c r="K117" i="5"/>
  <c r="M179" i="5"/>
  <c r="M200" i="5" s="1"/>
  <c r="K50" i="5"/>
  <c r="P178" i="5"/>
  <c r="F124" i="5"/>
  <c r="N10" i="5"/>
  <c r="N175" i="5" s="1"/>
  <c r="I10" i="5"/>
  <c r="M10" i="5"/>
  <c r="M175" i="5" s="1"/>
  <c r="R10" i="5"/>
  <c r="K32" i="5"/>
  <c r="K28" i="5"/>
  <c r="K37" i="5"/>
  <c r="V189" i="5" s="1"/>
  <c r="K48" i="5"/>
  <c r="O11" i="5"/>
  <c r="M55" i="5"/>
  <c r="O55" i="5"/>
  <c r="N65" i="5"/>
  <c r="M65" i="5"/>
  <c r="K30" i="5"/>
  <c r="K21" i="5"/>
  <c r="P67" i="5"/>
  <c r="P205" i="5" s="1"/>
  <c r="P203" i="5" s="1"/>
  <c r="T65" i="5"/>
  <c r="O198" i="5"/>
  <c r="O65" i="5"/>
  <c r="O196" i="5"/>
  <c r="T197" i="5"/>
  <c r="T202" i="5"/>
  <c r="T179" i="5"/>
  <c r="T200" i="5" s="1"/>
  <c r="N197" i="5"/>
  <c r="R202" i="5"/>
  <c r="T198" i="5"/>
  <c r="S198" i="5"/>
  <c r="M196" i="5"/>
  <c r="O179" i="5"/>
  <c r="O200" i="5" s="1"/>
  <c r="M198" i="5"/>
  <c r="I198" i="5"/>
  <c r="R196" i="5"/>
  <c r="S197" i="5"/>
  <c r="M197" i="5"/>
  <c r="M202" i="5"/>
  <c r="S179" i="5"/>
  <c r="R198" i="5"/>
  <c r="S196" i="5"/>
  <c r="T16" i="5"/>
  <c r="R197" i="5"/>
  <c r="I196" i="5"/>
  <c r="O197" i="5"/>
  <c r="I202" i="5" l="1"/>
  <c r="U205" i="5"/>
  <c r="U10" i="5"/>
  <c r="U175" i="5" s="1"/>
  <c r="U206" i="5"/>
  <c r="K18" i="5"/>
  <c r="K9" i="5" s="1"/>
  <c r="V174" i="5" s="1"/>
  <c r="K55" i="5"/>
  <c r="F169" i="5"/>
  <c r="F167" i="5" s="1"/>
  <c r="S7" i="5"/>
  <c r="S173" i="5" s="1"/>
  <c r="P9" i="5"/>
  <c r="K65" i="5"/>
  <c r="G7" i="5"/>
  <c r="U201" i="5"/>
  <c r="I7" i="5"/>
  <c r="V183" i="5"/>
  <c r="P201" i="5"/>
  <c r="P196" i="5"/>
  <c r="U196" i="5"/>
  <c r="P202" i="5"/>
  <c r="K11" i="5"/>
  <c r="K43" i="5"/>
  <c r="K206" i="5" s="1"/>
  <c r="U198" i="5"/>
  <c r="N188" i="5"/>
  <c r="N200" i="5" s="1"/>
  <c r="U179" i="5"/>
  <c r="U200" i="5" s="1"/>
  <c r="R175" i="5"/>
  <c r="U202" i="5"/>
  <c r="P16" i="5"/>
  <c r="I175" i="5"/>
  <c r="V188" i="5"/>
  <c r="S200" i="5"/>
  <c r="P179" i="5"/>
  <c r="P200" i="5" s="1"/>
  <c r="V177" i="5"/>
  <c r="V178" i="5"/>
  <c r="K124" i="5"/>
  <c r="M7" i="5"/>
  <c r="M173" i="5" s="1"/>
  <c r="N7" i="5"/>
  <c r="N173" i="5" s="1"/>
  <c r="P65" i="5"/>
  <c r="T7" i="5"/>
  <c r="O16" i="5"/>
  <c r="U16" i="5"/>
  <c r="K203" i="5" l="1"/>
  <c r="U203" i="5"/>
  <c r="P7" i="5"/>
  <c r="P173" i="5" s="1"/>
  <c r="P174" i="5"/>
  <c r="T180" i="5"/>
  <c r="T173" i="5"/>
  <c r="I180" i="5"/>
  <c r="I173" i="5"/>
  <c r="K10" i="5"/>
  <c r="V175" i="5" s="1"/>
  <c r="F7" i="5"/>
  <c r="S180" i="5"/>
  <c r="K16" i="5"/>
  <c r="N198" i="5"/>
  <c r="N202" i="5"/>
  <c r="N196" i="5"/>
  <c r="V201" i="5"/>
  <c r="M180" i="5"/>
  <c r="N180" i="5"/>
  <c r="V179" i="5"/>
  <c r="V200" i="5" s="1"/>
  <c r="V202" i="5"/>
  <c r="V196" i="5"/>
  <c r="V197" i="5"/>
  <c r="V198" i="5"/>
  <c r="U7" i="5"/>
  <c r="O7" i="5"/>
  <c r="O173" i="5" s="1"/>
  <c r="U180" i="5" l="1"/>
  <c r="U173" i="5"/>
  <c r="K7" i="5"/>
  <c r="V173" i="5" s="1"/>
  <c r="P180" i="5"/>
  <c r="O180" i="5"/>
  <c r="V180" i="5" l="1"/>
  <c r="R11" i="5" l="1"/>
  <c r="R7" i="5"/>
  <c r="R173" i="5" s="1"/>
  <c r="R180" i="5" l="1"/>
</calcChain>
</file>

<file path=xl/sharedStrings.xml><?xml version="1.0" encoding="utf-8"?>
<sst xmlns="http://schemas.openxmlformats.org/spreadsheetml/2006/main" count="230" uniqueCount="88">
  <si>
    <t>− powiat</t>
  </si>
  <si>
    <t>− gmina</t>
  </si>
  <si>
    <t xml:space="preserve">Teatry </t>
  </si>
  <si>
    <t>Kultura i ochrona dziedzictwa narodowego</t>
  </si>
  <si>
    <t xml:space="preserve">Filharmonie, orkiestry, chóry i kapele </t>
  </si>
  <si>
    <t>Domy i ośrodki kultury, świetlice i kluby</t>
  </si>
  <si>
    <t>Galerie i biura wystaw artystycznych</t>
  </si>
  <si>
    <t>Biblioteki</t>
  </si>
  <si>
    <t>Muzea</t>
  </si>
  <si>
    <t>OGÓŁEM</t>
  </si>
  <si>
    <t xml:space="preserve">Gmina  </t>
  </si>
  <si>
    <t>Powiat</t>
  </si>
  <si>
    <t>Pozostałe instytucje kultury</t>
  </si>
  <si>
    <t>Krakowskie Biuro Festiwalowe</t>
  </si>
  <si>
    <t>w zł</t>
  </si>
  <si>
    <t>Kwota</t>
  </si>
  <si>
    <t>Dział</t>
  </si>
  <si>
    <t>Rozdz.</t>
  </si>
  <si>
    <t>§</t>
  </si>
  <si>
    <t>Plan</t>
  </si>
  <si>
    <t>dotacji</t>
  </si>
  <si>
    <t>ogółem</t>
  </si>
  <si>
    <t>w tym:</t>
  </si>
  <si>
    <t>– gmina</t>
  </si>
  <si>
    <t>gmina</t>
  </si>
  <si>
    <t>powiat</t>
  </si>
  <si>
    <t>Pozostałe zadania w zakresie kultury</t>
  </si>
  <si>
    <t>Ochrona zabytków i opieka nad zabytkami</t>
  </si>
  <si>
    <t>różnica</t>
  </si>
  <si>
    <t>Teatr „Ludowy”</t>
  </si>
  <si>
    <t>Teatr „Łaźnia Nowa”</t>
  </si>
  <si>
    <t>Teatr KTO</t>
  </si>
  <si>
    <t>Balet Dworski Cracovia Danza</t>
  </si>
  <si>
    <t>Teatr Bagatela</t>
  </si>
  <si>
    <t>Sinfonietta Cracovia</t>
  </si>
  <si>
    <t>Capella Cracoviensis</t>
  </si>
  <si>
    <t>Nowohuckie Centrum Kultury</t>
  </si>
  <si>
    <t>Centrum Kultury Dworek Białoprądnicki</t>
  </si>
  <si>
    <t>Ośrodek Kultury Kraków - Nowa Huta</t>
  </si>
  <si>
    <t>Ośrodek Kultury im. CK Norwida</t>
  </si>
  <si>
    <t>Ośrodek Kultury Biblioteka Polskiej Piosenki</t>
  </si>
  <si>
    <t>Muzeum Armii Krajowej</t>
  </si>
  <si>
    <t>Muzeum Historii Fotografii</t>
  </si>
  <si>
    <t>Galeria Sztuki Współczesnej Bunkier Sztuki</t>
  </si>
  <si>
    <t>Muzeum Historyczne Miasta Krakowa</t>
  </si>
  <si>
    <t>Zwiększenia</t>
  </si>
  <si>
    <t xml:space="preserve">Zmniejszenia </t>
  </si>
  <si>
    <t>bieżące</t>
  </si>
  <si>
    <t>Centra kultury i sztuki</t>
  </si>
  <si>
    <t>1.2. Miejskie instytucje kultury</t>
  </si>
  <si>
    <t>inwestycyjne</t>
  </si>
  <si>
    <t>§ 2480</t>
  </si>
  <si>
    <t>§ 6220</t>
  </si>
  <si>
    <t>§ bieżące</t>
  </si>
  <si>
    <t>§ inwestycyjne</t>
  </si>
  <si>
    <t>§ 6229</t>
  </si>
  <si>
    <t>§ 6569</t>
  </si>
  <si>
    <t>§ 6568</t>
  </si>
  <si>
    <t>$ ogółem</t>
  </si>
  <si>
    <t>§ 6567</t>
  </si>
  <si>
    <t>§ 6227</t>
  </si>
  <si>
    <t>Muzeum Sztuki Współczesnej</t>
  </si>
  <si>
    <t>§ 6560</t>
  </si>
  <si>
    <t>§ 2805</t>
  </si>
  <si>
    <t>§ 2806</t>
  </si>
  <si>
    <t>§ 2807</t>
  </si>
  <si>
    <t>92105</t>
  </si>
  <si>
    <t>Krakowski Teatr Variete</t>
  </si>
  <si>
    <t>§ 2800</t>
  </si>
  <si>
    <t>§ 6226</t>
  </si>
  <si>
    <t>§ 2479</t>
  </si>
  <si>
    <t>Teatr „Groteska”</t>
  </si>
  <si>
    <t>Biblioteka Kraków</t>
  </si>
  <si>
    <t>Centrum Kultury Podgórza</t>
  </si>
  <si>
    <t>Krakowskie Forum Kultury</t>
  </si>
  <si>
    <t>Krakowski Teatr Scena STU</t>
  </si>
  <si>
    <t>Instytut Kultury Willa Decjusza</t>
  </si>
  <si>
    <t>Muzeum - Miejsce Pamięci KL Plaszow</t>
  </si>
  <si>
    <t xml:space="preserve">Dotacja celowa </t>
  </si>
  <si>
    <t xml:space="preserve">Dotacja podmiotowa </t>
  </si>
  <si>
    <t>Ośrodek Kultury Zespół Pieśni i Tańca „Krakowiacy”</t>
  </si>
  <si>
    <t>Muzeum Inżynierii i Techniki</t>
  </si>
  <si>
    <t>Wykonanie 31.12.2023</t>
  </si>
  <si>
    <t>Gmina</t>
  </si>
  <si>
    <t>G</t>
  </si>
  <si>
    <t>P</t>
  </si>
  <si>
    <t>Ogółem bz</t>
  </si>
  <si>
    <t>Ogółem unia+inw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</si>
</sst>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#\ ###\ ##0_);[Red]\(##\ ###\ ##0\)"/>
    <numFmt numFmtId="165" formatCode="###\ ###\ ###\ ###"/>
    <numFmt numFmtId="166" formatCode="###,###,###"/>
  </numFmts>
  <fonts count="27" x14ac:knownFonts="1">
    <font>
      <sz val="10"/>
      <name val="Arial"/>
      <charset val="238"/>
    </font>
    <font>
      <sz val="10"/>
      <name val="Arial CE"/>
      <charset val="238"/>
    </font>
    <font>
      <sz val="8"/>
      <name val="Arial"/>
      <family val="2"/>
      <charset val="238"/>
    </font>
    <font>
      <sz val="9"/>
      <name val="Times New Roman"/>
      <family val="1"/>
      <charset val="238"/>
    </font>
    <font>
      <b/>
      <sz val="9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  <font>
      <i/>
      <sz val="10"/>
      <name val="Times New Roman"/>
      <family val="1"/>
      <charset val="238"/>
    </font>
    <font>
      <b/>
      <i/>
      <sz val="10"/>
      <name val="Times New Roman"/>
      <family val="1"/>
      <charset val="238"/>
    </font>
    <font>
      <sz val="9"/>
      <name val="Arial"/>
      <family val="2"/>
      <charset val="238"/>
    </font>
    <font>
      <i/>
      <sz val="8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0"/>
      <color indexed="17"/>
      <name val="Times New Roman"/>
      <family val="1"/>
      <charset val="238"/>
    </font>
    <font>
      <b/>
      <sz val="10"/>
      <color indexed="60"/>
      <name val="Times New Roman"/>
      <family val="1"/>
      <charset val="238"/>
    </font>
    <font>
      <sz val="10"/>
      <color indexed="17"/>
      <name val="Times New Roman"/>
      <family val="1"/>
      <charset val="238"/>
    </font>
    <font>
      <b/>
      <i/>
      <sz val="10"/>
      <color indexed="17"/>
      <name val="Times New Roman"/>
      <family val="1"/>
      <charset val="238"/>
    </font>
    <font>
      <i/>
      <sz val="8"/>
      <name val="Arial"/>
      <family val="2"/>
      <charset val="238"/>
    </font>
    <font>
      <sz val="8"/>
      <name val="Arial"/>
      <family val="2"/>
      <charset val="238"/>
    </font>
    <font>
      <i/>
      <sz val="9"/>
      <name val="Times New Roman"/>
      <family val="1"/>
      <charset val="238"/>
    </font>
    <font>
      <sz val="11"/>
      <name val="Times New Roman"/>
      <family val="1"/>
      <charset val="238"/>
    </font>
    <font>
      <b/>
      <i/>
      <sz val="8"/>
      <name val="Arial"/>
      <family val="2"/>
      <charset val="238"/>
    </font>
    <font>
      <b/>
      <sz val="8"/>
      <name val="Arial"/>
      <family val="2"/>
      <charset val="238"/>
    </font>
    <font>
      <b/>
      <i/>
      <sz val="9"/>
      <name val="Arial"/>
      <family val="2"/>
      <charset val="238"/>
    </font>
    <font>
      <sz val="10"/>
      <color theme="1"/>
      <name val="Times New Roman"/>
      <family val="1"/>
      <charset val="238"/>
    </font>
    <font>
      <b/>
      <i/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indexed="15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99FF"/>
        <bgColor indexed="64"/>
      </patternFill>
    </fill>
    <fill>
      <patternFill patternType="solid">
        <fgColor rgb="FF00FFFF"/>
        <bgColor indexed="64"/>
      </patternFill>
    </fill>
    <fill>
      <patternFill patternType="solid">
        <fgColor rgb="FF99FFCC"/>
        <bgColor indexed="64"/>
      </patternFill>
    </fill>
  </fills>
  <borders count="26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355">
    <xf numFmtId="0" fontId="0" fillId="0" borderId="0" xfId="0"/>
    <xf numFmtId="0" fontId="3" fillId="0" borderId="0" xfId="2" applyFont="1" applyBorder="1" applyAlignment="1">
      <alignment vertical="center"/>
    </xf>
    <xf numFmtId="0" fontId="3" fillId="0" borderId="0" xfId="2" applyNumberFormat="1" applyFont="1" applyBorder="1" applyAlignment="1">
      <alignment vertical="center"/>
    </xf>
    <xf numFmtId="0" fontId="4" fillId="0" borderId="0" xfId="2" applyFont="1" applyBorder="1" applyAlignment="1">
      <alignment vertical="center"/>
    </xf>
    <xf numFmtId="0" fontId="3" fillId="0" borderId="0" xfId="2" applyFont="1" applyAlignment="1">
      <alignment vertical="center"/>
    </xf>
    <xf numFmtId="0" fontId="4" fillId="0" borderId="0" xfId="2" applyFont="1" applyBorder="1" applyAlignment="1">
      <alignment horizontal="left" vertical="center"/>
    </xf>
    <xf numFmtId="0" fontId="3" fillId="0" borderId="0" xfId="2" applyFont="1" applyBorder="1" applyAlignment="1">
      <alignment horizontal="right" vertical="center"/>
    </xf>
    <xf numFmtId="164" fontId="4" fillId="0" borderId="0" xfId="2" applyNumberFormat="1" applyFont="1" applyBorder="1" applyAlignment="1">
      <alignment vertical="center" wrapText="1"/>
    </xf>
    <xf numFmtId="165" fontId="4" fillId="0" borderId="1" xfId="2" applyNumberFormat="1" applyFont="1" applyBorder="1" applyAlignment="1">
      <alignment vertical="center" wrapText="1"/>
    </xf>
    <xf numFmtId="165" fontId="3" fillId="0" borderId="1" xfId="2" applyNumberFormat="1" applyFont="1" applyBorder="1" applyAlignment="1">
      <alignment vertical="center" wrapText="1"/>
    </xf>
    <xf numFmtId="164" fontId="3" fillId="0" borderId="0" xfId="2" applyNumberFormat="1" applyFont="1" applyBorder="1" applyAlignment="1">
      <alignment vertical="center" wrapText="1"/>
    </xf>
    <xf numFmtId="165" fontId="3" fillId="0" borderId="2" xfId="2" applyNumberFormat="1" applyFont="1" applyBorder="1" applyAlignment="1">
      <alignment vertical="center" wrapText="1"/>
    </xf>
    <xf numFmtId="0" fontId="3" fillId="0" borderId="0" xfId="2" applyFont="1" applyAlignment="1">
      <alignment vertical="center" wrapText="1"/>
    </xf>
    <xf numFmtId="0" fontId="3" fillId="0" borderId="0" xfId="2" applyFont="1" applyBorder="1" applyAlignment="1">
      <alignment vertical="center" wrapText="1"/>
    </xf>
    <xf numFmtId="0" fontId="3" fillId="0" borderId="3" xfId="2" applyFont="1" applyBorder="1" applyAlignment="1">
      <alignment horizontal="center" vertical="center" wrapText="1"/>
    </xf>
    <xf numFmtId="0" fontId="4" fillId="0" borderId="0" xfId="2" applyFont="1" applyBorder="1" applyAlignment="1">
      <alignment horizontal="center" vertical="center" wrapText="1"/>
    </xf>
    <xf numFmtId="0" fontId="4" fillId="0" borderId="0" xfId="2" applyNumberFormat="1" applyFont="1" applyBorder="1" applyAlignment="1">
      <alignment horizontal="center" vertical="center" wrapText="1"/>
    </xf>
    <xf numFmtId="0" fontId="4" fillId="0" borderId="0" xfId="2" applyFont="1" applyBorder="1" applyAlignment="1">
      <alignment horizontal="right" vertical="center" wrapText="1"/>
    </xf>
    <xf numFmtId="0" fontId="4" fillId="0" borderId="1" xfId="2" applyFont="1" applyBorder="1" applyAlignment="1">
      <alignment horizontal="center" vertical="center" wrapText="1"/>
    </xf>
    <xf numFmtId="0" fontId="3" fillId="0" borderId="0" xfId="2" applyFont="1" applyBorder="1" applyAlignment="1">
      <alignment horizontal="center" vertical="center" wrapText="1"/>
    </xf>
    <xf numFmtId="0" fontId="3" fillId="0" borderId="0" xfId="2" applyNumberFormat="1" applyFont="1" applyBorder="1" applyAlignment="1">
      <alignment horizontal="center" vertical="center" wrapText="1"/>
    </xf>
    <xf numFmtId="0" fontId="3" fillId="0" borderId="0" xfId="2" applyFont="1" applyBorder="1" applyAlignment="1">
      <alignment horizontal="right" vertical="center" wrapText="1"/>
    </xf>
    <xf numFmtId="0" fontId="3" fillId="0" borderId="1" xfId="2" applyFont="1" applyBorder="1" applyAlignment="1">
      <alignment horizontal="right" vertical="center" wrapText="1"/>
    </xf>
    <xf numFmtId="0" fontId="3" fillId="0" borderId="1" xfId="2" applyFont="1" applyBorder="1" applyAlignment="1">
      <alignment vertical="center" wrapText="1"/>
    </xf>
    <xf numFmtId="0" fontId="3" fillId="0" borderId="1" xfId="2" applyFont="1" applyBorder="1" applyAlignment="1">
      <alignment horizontal="left" vertical="center" wrapText="1"/>
    </xf>
    <xf numFmtId="0" fontId="3" fillId="0" borderId="4" xfId="2" applyFont="1" applyBorder="1" applyAlignment="1">
      <alignment vertical="center" wrapText="1"/>
    </xf>
    <xf numFmtId="0" fontId="3" fillId="0" borderId="5" xfId="2" applyFont="1" applyBorder="1" applyAlignment="1">
      <alignment horizontal="center" vertical="center" wrapText="1"/>
    </xf>
    <xf numFmtId="0" fontId="3" fillId="0" borderId="5" xfId="2" applyNumberFormat="1" applyFont="1" applyBorder="1" applyAlignment="1">
      <alignment horizontal="center" vertical="center" wrapText="1"/>
    </xf>
    <xf numFmtId="0" fontId="3" fillId="0" borderId="5" xfId="2" applyFont="1" applyBorder="1" applyAlignment="1">
      <alignment horizontal="right" vertical="center" wrapText="1"/>
    </xf>
    <xf numFmtId="0" fontId="3" fillId="0" borderId="2" xfId="2" applyFont="1" applyBorder="1" applyAlignment="1">
      <alignment horizontal="left" vertical="center" wrapText="1"/>
    </xf>
    <xf numFmtId="0" fontId="3" fillId="0" borderId="0" xfId="2" applyNumberFormat="1" applyFont="1" applyBorder="1" applyAlignment="1">
      <alignment vertical="center" wrapText="1"/>
    </xf>
    <xf numFmtId="0" fontId="3" fillId="0" borderId="0" xfId="2" applyFont="1" applyFill="1" applyAlignment="1">
      <alignment vertical="center" wrapText="1"/>
    </xf>
    <xf numFmtId="0" fontId="3" fillId="0" borderId="0" xfId="2" applyFont="1" applyFill="1" applyBorder="1" applyAlignment="1">
      <alignment vertical="center" wrapText="1"/>
    </xf>
    <xf numFmtId="164" fontId="3" fillId="0" borderId="0" xfId="2" applyNumberFormat="1" applyFont="1" applyFill="1" applyBorder="1" applyAlignment="1">
      <alignment vertical="center" wrapText="1"/>
    </xf>
    <xf numFmtId="0" fontId="10" fillId="0" borderId="8" xfId="2" applyFont="1" applyBorder="1" applyAlignment="1">
      <alignment horizontal="center" vertical="center"/>
    </xf>
    <xf numFmtId="0" fontId="10" fillId="0" borderId="6" xfId="2" applyNumberFormat="1" applyFont="1" applyBorder="1" applyAlignment="1">
      <alignment horizontal="center" vertical="center"/>
    </xf>
    <xf numFmtId="0" fontId="10" fillId="0" borderId="6" xfId="2" applyFont="1" applyBorder="1" applyAlignment="1">
      <alignment horizontal="center" vertical="center"/>
    </xf>
    <xf numFmtId="0" fontId="10" fillId="0" borderId="9" xfId="2" applyFont="1" applyBorder="1" applyAlignment="1">
      <alignment horizontal="center" vertical="center"/>
    </xf>
    <xf numFmtId="164" fontId="5" fillId="0" borderId="12" xfId="2" applyNumberFormat="1" applyFont="1" applyBorder="1" applyAlignment="1">
      <alignment horizontal="center" vertical="center" wrapText="1"/>
    </xf>
    <xf numFmtId="0" fontId="5" fillId="0" borderId="1" xfId="2" applyNumberFormat="1" applyFont="1" applyBorder="1" applyAlignment="1">
      <alignment horizontal="center" vertical="center" wrapText="1"/>
    </xf>
    <xf numFmtId="164" fontId="5" fillId="0" borderId="1" xfId="2" applyNumberFormat="1" applyFont="1" applyBorder="1" applyAlignment="1">
      <alignment vertical="center" wrapText="1"/>
    </xf>
    <xf numFmtId="165" fontId="5" fillId="0" borderId="1" xfId="2" applyNumberFormat="1" applyFont="1" applyBorder="1" applyAlignment="1">
      <alignment horizontal="left" vertical="center" wrapText="1"/>
    </xf>
    <xf numFmtId="165" fontId="5" fillId="0" borderId="1" xfId="2" applyNumberFormat="1" applyFont="1" applyBorder="1" applyAlignment="1">
      <alignment vertical="center" wrapText="1"/>
    </xf>
    <xf numFmtId="0" fontId="14" fillId="0" borderId="1" xfId="2" applyNumberFormat="1" applyFont="1" applyBorder="1" applyAlignment="1">
      <alignment horizontal="center" vertical="center" wrapText="1"/>
    </xf>
    <xf numFmtId="0" fontId="6" fillId="0" borderId="1" xfId="2" applyNumberFormat="1" applyFont="1" applyBorder="1" applyAlignment="1">
      <alignment horizontal="center" vertical="center" wrapText="1"/>
    </xf>
    <xf numFmtId="164" fontId="6" fillId="0" borderId="1" xfId="2" applyNumberFormat="1" applyFont="1" applyBorder="1" applyAlignment="1">
      <alignment vertical="center" wrapText="1"/>
    </xf>
    <xf numFmtId="165" fontId="6" fillId="0" borderId="1" xfId="2" applyNumberFormat="1" applyFont="1" applyBorder="1" applyAlignment="1">
      <alignment vertical="center" wrapText="1"/>
    </xf>
    <xf numFmtId="164" fontId="6" fillId="0" borderId="12" xfId="2" applyNumberFormat="1" applyFont="1" applyBorder="1" applyAlignment="1">
      <alignment vertical="center" wrapText="1"/>
    </xf>
    <xf numFmtId="0" fontId="14" fillId="0" borderId="12" xfId="2" applyNumberFormat="1" applyFont="1" applyBorder="1" applyAlignment="1">
      <alignment horizontal="center" vertical="center" wrapText="1"/>
    </xf>
    <xf numFmtId="165" fontId="6" fillId="0" borderId="1" xfId="2" applyNumberFormat="1" applyFont="1" applyBorder="1" applyAlignment="1">
      <alignment horizontal="left" vertical="center" wrapText="1"/>
    </xf>
    <xf numFmtId="0" fontId="6" fillId="0" borderId="10" xfId="2" applyNumberFormat="1" applyFont="1" applyBorder="1" applyAlignment="1">
      <alignment horizontal="center" vertical="center" wrapText="1"/>
    </xf>
    <xf numFmtId="0" fontId="6" fillId="0" borderId="11" xfId="2" applyNumberFormat="1" applyFont="1" applyBorder="1" applyAlignment="1">
      <alignment horizontal="center" vertical="center" wrapText="1"/>
    </xf>
    <xf numFmtId="164" fontId="6" fillId="0" borderId="11" xfId="2" applyNumberFormat="1" applyFont="1" applyBorder="1" applyAlignment="1">
      <alignment vertical="center" wrapText="1"/>
    </xf>
    <xf numFmtId="165" fontId="6" fillId="0" borderId="11" xfId="2" applyNumberFormat="1" applyFont="1" applyBorder="1" applyAlignment="1">
      <alignment horizontal="left" vertical="center" wrapText="1"/>
    </xf>
    <xf numFmtId="165" fontId="6" fillId="0" borderId="11" xfId="2" applyNumberFormat="1" applyFont="1" applyBorder="1" applyAlignment="1">
      <alignment vertical="center" wrapText="1"/>
    </xf>
    <xf numFmtId="0" fontId="14" fillId="0" borderId="1" xfId="2" applyNumberFormat="1" applyFont="1" applyFill="1" applyBorder="1" applyAlignment="1">
      <alignment horizontal="center" vertical="center" wrapText="1"/>
    </xf>
    <xf numFmtId="0" fontId="6" fillId="0" borderId="1" xfId="2" applyNumberFormat="1" applyFont="1" applyFill="1" applyBorder="1" applyAlignment="1">
      <alignment horizontal="center" vertical="center" wrapText="1"/>
    </xf>
    <xf numFmtId="164" fontId="6" fillId="0" borderId="1" xfId="2" applyNumberFormat="1" applyFont="1" applyFill="1" applyBorder="1" applyAlignment="1">
      <alignment vertical="center" wrapText="1"/>
    </xf>
    <xf numFmtId="165" fontId="6" fillId="0" borderId="1" xfId="2" applyNumberFormat="1" applyFont="1" applyFill="1" applyBorder="1" applyAlignment="1">
      <alignment vertical="center" wrapText="1"/>
    </xf>
    <xf numFmtId="164" fontId="6" fillId="0" borderId="3" xfId="2" applyNumberFormat="1" applyFont="1" applyFill="1" applyBorder="1" applyAlignment="1">
      <alignment vertical="center" wrapText="1"/>
    </xf>
    <xf numFmtId="164" fontId="6" fillId="0" borderId="12" xfId="2" applyNumberFormat="1" applyFont="1" applyFill="1" applyBorder="1" applyAlignment="1">
      <alignment vertical="center" wrapText="1"/>
    </xf>
    <xf numFmtId="0" fontId="6" fillId="0" borderId="10" xfId="2" applyNumberFormat="1" applyFont="1" applyFill="1" applyBorder="1" applyAlignment="1">
      <alignment horizontal="center" vertical="center" wrapText="1"/>
    </xf>
    <xf numFmtId="0" fontId="6" fillId="0" borderId="11" xfId="2" applyNumberFormat="1" applyFont="1" applyFill="1" applyBorder="1" applyAlignment="1">
      <alignment horizontal="center" vertical="center" wrapText="1"/>
    </xf>
    <xf numFmtId="164" fontId="6" fillId="0" borderId="11" xfId="2" applyNumberFormat="1" applyFont="1" applyFill="1" applyBorder="1" applyAlignment="1">
      <alignment vertical="center" wrapText="1"/>
    </xf>
    <xf numFmtId="165" fontId="6" fillId="0" borderId="11" xfId="2" applyNumberFormat="1" applyFont="1" applyFill="1" applyBorder="1" applyAlignment="1">
      <alignment vertical="center" wrapText="1"/>
    </xf>
    <xf numFmtId="0" fontId="11" fillId="0" borderId="0" xfId="2" applyFont="1" applyBorder="1" applyAlignment="1">
      <alignment vertical="center"/>
    </xf>
    <xf numFmtId="164" fontId="12" fillId="0" borderId="1" xfId="2" applyNumberFormat="1" applyFont="1" applyBorder="1" applyAlignment="1">
      <alignment horizontal="center" vertical="center" wrapText="1"/>
    </xf>
    <xf numFmtId="164" fontId="13" fillId="0" borderId="12" xfId="2" applyNumberFormat="1" applyFont="1" applyBorder="1" applyAlignment="1">
      <alignment vertical="center" wrapText="1"/>
    </xf>
    <xf numFmtId="164" fontId="15" fillId="0" borderId="1" xfId="2" applyNumberFormat="1" applyFont="1" applyBorder="1" applyAlignment="1">
      <alignment horizontal="center" vertical="center" wrapText="1"/>
    </xf>
    <xf numFmtId="0" fontId="8" fillId="0" borderId="1" xfId="2" applyNumberFormat="1" applyFont="1" applyBorder="1" applyAlignment="1">
      <alignment horizontal="center" vertical="center" wrapText="1"/>
    </xf>
    <xf numFmtId="165" fontId="7" fillId="0" borderId="1" xfId="2" applyNumberFormat="1" applyFont="1" applyBorder="1" applyAlignment="1">
      <alignment vertical="center" wrapText="1"/>
    </xf>
    <xf numFmtId="164" fontId="6" fillId="0" borderId="3" xfId="2" applyNumberFormat="1" applyFont="1" applyBorder="1" applyAlignment="1">
      <alignment vertical="center" wrapText="1"/>
    </xf>
    <xf numFmtId="164" fontId="14" fillId="0" borderId="1" xfId="2" applyNumberFormat="1" applyFont="1" applyBorder="1" applyAlignment="1">
      <alignment horizontal="center" vertical="center" wrapText="1"/>
    </xf>
    <xf numFmtId="166" fontId="6" fillId="0" borderId="1" xfId="2" applyNumberFormat="1" applyFont="1" applyBorder="1" applyAlignment="1">
      <alignment vertical="center" wrapText="1"/>
    </xf>
    <xf numFmtId="164" fontId="12" fillId="0" borderId="12" xfId="2" applyNumberFormat="1" applyFont="1" applyBorder="1" applyAlignment="1">
      <alignment horizontal="center" vertical="center" wrapText="1"/>
    </xf>
    <xf numFmtId="0" fontId="6" fillId="0" borderId="10" xfId="2" quotePrefix="1" applyNumberFormat="1" applyFont="1" applyBorder="1" applyAlignment="1">
      <alignment horizontal="center" vertical="center" wrapText="1"/>
    </xf>
    <xf numFmtId="0" fontId="6" fillId="0" borderId="11" xfId="2" quotePrefix="1" applyNumberFormat="1" applyFont="1" applyBorder="1" applyAlignment="1">
      <alignment horizontal="center" vertical="center" wrapText="1"/>
    </xf>
    <xf numFmtId="0" fontId="14" fillId="0" borderId="1" xfId="2" quotePrefix="1" applyNumberFormat="1" applyFont="1" applyBorder="1" applyAlignment="1">
      <alignment horizontal="center" vertical="center" wrapText="1"/>
    </xf>
    <xf numFmtId="0" fontId="6" fillId="0" borderId="1" xfId="2" quotePrefix="1" applyNumberFormat="1" applyFont="1" applyBorder="1" applyAlignment="1">
      <alignment horizontal="center" vertical="center" wrapText="1"/>
    </xf>
    <xf numFmtId="164" fontId="13" fillId="0" borderId="12" xfId="2" applyNumberFormat="1" applyFont="1" applyFill="1" applyBorder="1" applyAlignment="1">
      <alignment vertical="center" wrapText="1"/>
    </xf>
    <xf numFmtId="0" fontId="14" fillId="0" borderId="1" xfId="2" quotePrefix="1" applyNumberFormat="1" applyFont="1" applyFill="1" applyBorder="1" applyAlignment="1">
      <alignment horizontal="center" vertical="center" wrapText="1"/>
    </xf>
    <xf numFmtId="0" fontId="6" fillId="0" borderId="1" xfId="2" quotePrefix="1" applyNumberFormat="1" applyFont="1" applyFill="1" applyBorder="1" applyAlignment="1">
      <alignment horizontal="center" vertical="center" wrapText="1"/>
    </xf>
    <xf numFmtId="0" fontId="14" fillId="0" borderId="12" xfId="2" quotePrefix="1" applyNumberFormat="1" applyFont="1" applyBorder="1" applyAlignment="1">
      <alignment horizontal="center" vertical="center" wrapText="1"/>
    </xf>
    <xf numFmtId="165" fontId="6" fillId="0" borderId="10" xfId="2" applyNumberFormat="1" applyFont="1" applyBorder="1" applyAlignment="1">
      <alignment vertical="center" wrapText="1"/>
    </xf>
    <xf numFmtId="0" fontId="14" fillId="0" borderId="7" xfId="2" applyNumberFormat="1" applyFont="1" applyBorder="1" applyAlignment="1">
      <alignment horizontal="center" vertical="center" wrapText="1"/>
    </xf>
    <xf numFmtId="0" fontId="6" fillId="0" borderId="2" xfId="2" applyNumberFormat="1" applyFont="1" applyBorder="1" applyAlignment="1">
      <alignment horizontal="center" vertical="center" wrapText="1"/>
    </xf>
    <xf numFmtId="164" fontId="6" fillId="0" borderId="2" xfId="2" applyNumberFormat="1" applyFont="1" applyBorder="1" applyAlignment="1">
      <alignment vertical="center" wrapText="1"/>
    </xf>
    <xf numFmtId="165" fontId="6" fillId="0" borderId="7" xfId="2" applyNumberFormat="1" applyFont="1" applyBorder="1" applyAlignment="1">
      <alignment vertical="center" wrapText="1"/>
    </xf>
    <xf numFmtId="165" fontId="6" fillId="0" borderId="2" xfId="2" applyNumberFormat="1" applyFont="1" applyBorder="1" applyAlignment="1">
      <alignment vertical="center" wrapText="1"/>
    </xf>
    <xf numFmtId="164" fontId="6" fillId="0" borderId="4" xfId="2" applyNumberFormat="1" applyFont="1" applyBorder="1" applyAlignment="1">
      <alignment vertical="center" wrapText="1"/>
    </xf>
    <xf numFmtId="164" fontId="6" fillId="0" borderId="7" xfId="2" applyNumberFormat="1" applyFont="1" applyBorder="1" applyAlignment="1">
      <alignment vertical="center" wrapText="1"/>
    </xf>
    <xf numFmtId="0" fontId="6" fillId="0" borderId="12" xfId="2" applyNumberFormat="1" applyFont="1" applyBorder="1" applyAlignment="1">
      <alignment horizontal="center" vertical="center" wrapText="1"/>
    </xf>
    <xf numFmtId="0" fontId="6" fillId="0" borderId="3" xfId="2" applyFont="1" applyBorder="1" applyAlignment="1">
      <alignment vertical="center" wrapText="1"/>
    </xf>
    <xf numFmtId="3" fontId="6" fillId="0" borderId="12" xfId="2" applyNumberFormat="1" applyFont="1" applyBorder="1" applyAlignment="1">
      <alignment vertical="center" wrapText="1"/>
    </xf>
    <xf numFmtId="164" fontId="13" fillId="0" borderId="7" xfId="2" applyNumberFormat="1" applyFont="1" applyBorder="1" applyAlignment="1">
      <alignment vertical="center" wrapText="1"/>
    </xf>
    <xf numFmtId="0" fontId="6" fillId="0" borderId="12" xfId="2" applyFont="1" applyBorder="1" applyAlignment="1">
      <alignment vertical="center" wrapText="1"/>
    </xf>
    <xf numFmtId="0" fontId="6" fillId="0" borderId="3" xfId="2" applyFont="1" applyFill="1" applyBorder="1" applyAlignment="1">
      <alignment vertical="center" wrapText="1"/>
    </xf>
    <xf numFmtId="0" fontId="6" fillId="0" borderId="12" xfId="2" applyFont="1" applyFill="1" applyBorder="1" applyAlignment="1">
      <alignment vertical="center" wrapText="1"/>
    </xf>
    <xf numFmtId="0" fontId="6" fillId="0" borderId="13" xfId="2" applyFont="1" applyFill="1" applyBorder="1" applyAlignment="1">
      <alignment vertical="center" wrapText="1"/>
    </xf>
    <xf numFmtId="0" fontId="6" fillId="0" borderId="10" xfId="2" applyFont="1" applyFill="1" applyBorder="1" applyAlignment="1">
      <alignment vertical="center" wrapText="1"/>
    </xf>
    <xf numFmtId="164" fontId="13" fillId="0" borderId="7" xfId="2" applyNumberFormat="1" applyFont="1" applyFill="1" applyBorder="1" applyAlignment="1">
      <alignment horizontal="center" vertical="center" wrapText="1"/>
    </xf>
    <xf numFmtId="164" fontId="6" fillId="0" borderId="2" xfId="2" applyNumberFormat="1" applyFont="1" applyFill="1" applyBorder="1" applyAlignment="1">
      <alignment horizontal="center" vertical="center" wrapText="1"/>
    </xf>
    <xf numFmtId="0" fontId="6" fillId="0" borderId="2" xfId="2" applyNumberFormat="1" applyFont="1" applyFill="1" applyBorder="1" applyAlignment="1">
      <alignment horizontal="center" vertical="center" wrapText="1"/>
    </xf>
    <xf numFmtId="164" fontId="6" fillId="0" borderId="2" xfId="2" applyNumberFormat="1" applyFont="1" applyFill="1" applyBorder="1" applyAlignment="1">
      <alignment vertical="center" wrapText="1"/>
    </xf>
    <xf numFmtId="165" fontId="6" fillId="0" borderId="2" xfId="2" applyNumberFormat="1" applyFont="1" applyFill="1" applyBorder="1" applyAlignment="1">
      <alignment vertical="center" wrapText="1"/>
    </xf>
    <xf numFmtId="0" fontId="6" fillId="0" borderId="4" xfId="2" applyFont="1" applyFill="1" applyBorder="1" applyAlignment="1">
      <alignment vertical="center" wrapText="1"/>
    </xf>
    <xf numFmtId="0" fontId="6" fillId="0" borderId="7" xfId="2" applyFont="1" applyFill="1" applyBorder="1" applyAlignment="1">
      <alignment vertical="center" wrapText="1"/>
    </xf>
    <xf numFmtId="0" fontId="10" fillId="4" borderId="8" xfId="2" applyFont="1" applyFill="1" applyBorder="1" applyAlignment="1">
      <alignment horizontal="center" vertical="center"/>
    </xf>
    <xf numFmtId="0" fontId="10" fillId="0" borderId="15" xfId="2" applyFont="1" applyBorder="1" applyAlignment="1">
      <alignment horizontal="center" vertical="center"/>
    </xf>
    <xf numFmtId="0" fontId="10" fillId="4" borderId="9" xfId="2" applyFont="1" applyFill="1" applyBorder="1" applyAlignment="1">
      <alignment horizontal="center" vertical="center"/>
    </xf>
    <xf numFmtId="0" fontId="17" fillId="0" borderId="0" xfId="1" applyFont="1" applyFill="1" applyBorder="1" applyAlignment="1">
      <alignment vertical="center"/>
    </xf>
    <xf numFmtId="0" fontId="17" fillId="2" borderId="0" xfId="2" applyFont="1" applyFill="1" applyBorder="1" applyAlignment="1">
      <alignment horizontal="center" vertical="center" wrapText="1"/>
    </xf>
    <xf numFmtId="0" fontId="21" fillId="2" borderId="0" xfId="2" applyFont="1" applyFill="1" applyBorder="1" applyAlignment="1">
      <alignment horizontal="center" vertical="center" wrapText="1"/>
    </xf>
    <xf numFmtId="0" fontId="20" fillId="3" borderId="0" xfId="2" applyFont="1" applyFill="1" applyBorder="1" applyAlignment="1">
      <alignment horizontal="center" vertical="center" wrapText="1"/>
    </xf>
    <xf numFmtId="0" fontId="17" fillId="2" borderId="0" xfId="2" applyNumberFormat="1" applyFont="1" applyFill="1" applyBorder="1" applyAlignment="1">
      <alignment horizontal="center" vertical="center"/>
    </xf>
    <xf numFmtId="0" fontId="21" fillId="2" borderId="0" xfId="1" applyFont="1" applyFill="1" applyBorder="1" applyAlignment="1">
      <alignment horizontal="center" vertical="center"/>
    </xf>
    <xf numFmtId="0" fontId="17" fillId="0" borderId="0" xfId="1" applyFont="1" applyFill="1" applyAlignment="1">
      <alignment vertical="center"/>
    </xf>
    <xf numFmtId="0" fontId="17" fillId="3" borderId="0" xfId="2" applyNumberFormat="1" applyFont="1" applyFill="1" applyBorder="1" applyAlignment="1">
      <alignment horizontal="center" vertical="center"/>
    </xf>
    <xf numFmtId="0" fontId="17" fillId="0" borderId="0" xfId="2" applyFont="1" applyBorder="1" applyAlignment="1">
      <alignment vertical="center" wrapText="1"/>
    </xf>
    <xf numFmtId="0" fontId="17" fillId="0" borderId="0" xfId="2" applyFont="1" applyAlignment="1">
      <alignment vertical="center" wrapText="1"/>
    </xf>
    <xf numFmtId="0" fontId="20" fillId="0" borderId="0" xfId="2" applyFont="1" applyFill="1" applyBorder="1" applyAlignment="1">
      <alignment horizontal="center" vertical="center" wrapText="1"/>
    </xf>
    <xf numFmtId="0" fontId="17" fillId="5" borderId="0" xfId="2" applyNumberFormat="1" applyFont="1" applyFill="1" applyBorder="1" applyAlignment="1">
      <alignment horizontal="center" vertical="center"/>
    </xf>
    <xf numFmtId="0" fontId="22" fillId="2" borderId="0" xfId="1" applyFont="1" applyFill="1" applyBorder="1" applyAlignment="1">
      <alignment horizontal="center" vertical="center"/>
    </xf>
    <xf numFmtId="0" fontId="9" fillId="2" borderId="0" xfId="2" applyFont="1" applyFill="1" applyBorder="1" applyAlignment="1">
      <alignment vertical="center" wrapText="1"/>
    </xf>
    <xf numFmtId="0" fontId="9" fillId="2" borderId="0" xfId="2" applyFont="1" applyFill="1" applyAlignment="1">
      <alignment vertical="center" wrapText="1"/>
    </xf>
    <xf numFmtId="0" fontId="17" fillId="2" borderId="0" xfId="1" applyFont="1" applyFill="1" applyBorder="1" applyAlignment="1">
      <alignment horizontal="center" vertical="center"/>
    </xf>
    <xf numFmtId="0" fontId="17" fillId="2" borderId="0" xfId="2" applyFont="1" applyFill="1" applyBorder="1" applyAlignment="1">
      <alignment vertical="center" wrapText="1"/>
    </xf>
    <xf numFmtId="0" fontId="17" fillId="2" borderId="0" xfId="2" applyFont="1" applyFill="1" applyAlignment="1">
      <alignment vertical="center" wrapText="1"/>
    </xf>
    <xf numFmtId="164" fontId="6" fillId="0" borderId="12" xfId="2" quotePrefix="1" applyNumberFormat="1" applyFont="1" applyBorder="1" applyAlignment="1">
      <alignment horizontal="center" vertical="center" wrapText="1"/>
    </xf>
    <xf numFmtId="164" fontId="6" fillId="0" borderId="10" xfId="2" quotePrefix="1" applyNumberFormat="1" applyFont="1" applyBorder="1" applyAlignment="1">
      <alignment horizontal="center" vertical="center" wrapText="1"/>
    </xf>
    <xf numFmtId="0" fontId="5" fillId="0" borderId="11" xfId="2" applyNumberFormat="1" applyFont="1" applyBorder="1" applyAlignment="1">
      <alignment horizontal="center" vertical="center" wrapText="1"/>
    </xf>
    <xf numFmtId="164" fontId="12" fillId="0" borderId="7" xfId="2" applyNumberFormat="1" applyFont="1" applyBorder="1" applyAlignment="1">
      <alignment horizontal="center" vertical="center" wrapText="1"/>
    </xf>
    <xf numFmtId="165" fontId="6" fillId="0" borderId="10" xfId="2" applyNumberFormat="1" applyFont="1" applyBorder="1" applyAlignment="1">
      <alignment horizontal="left" vertical="center" wrapText="1"/>
    </xf>
    <xf numFmtId="0" fontId="17" fillId="8" borderId="0" xfId="2" applyNumberFormat="1" applyFont="1" applyFill="1" applyBorder="1" applyAlignment="1">
      <alignment horizontal="center" vertical="center"/>
    </xf>
    <xf numFmtId="0" fontId="17" fillId="8" borderId="0" xfId="2" applyFont="1" applyFill="1" applyBorder="1" applyAlignment="1">
      <alignment vertical="center" wrapText="1"/>
    </xf>
    <xf numFmtId="0" fontId="17" fillId="8" borderId="0" xfId="2" applyFont="1" applyFill="1" applyAlignment="1">
      <alignment vertical="center" wrapText="1"/>
    </xf>
    <xf numFmtId="165" fontId="6" fillId="0" borderId="11" xfId="2" applyNumberFormat="1" applyFont="1" applyBorder="1" applyAlignment="1">
      <alignment horizontal="right" vertical="center" wrapText="1"/>
    </xf>
    <xf numFmtId="0" fontId="17" fillId="9" borderId="0" xfId="2" applyFont="1" applyFill="1" applyBorder="1" applyAlignment="1">
      <alignment vertical="center" wrapText="1"/>
    </xf>
    <xf numFmtId="0" fontId="17" fillId="9" borderId="0" xfId="2" applyFont="1" applyFill="1" applyAlignment="1">
      <alignment vertical="center" wrapText="1"/>
    </xf>
    <xf numFmtId="164" fontId="6" fillId="0" borderId="0" xfId="2" applyNumberFormat="1" applyFont="1" applyBorder="1" applyAlignment="1">
      <alignment vertical="center" wrapText="1"/>
    </xf>
    <xf numFmtId="3" fontId="6" fillId="0" borderId="2" xfId="2" applyNumberFormat="1" applyFont="1" applyBorder="1" applyAlignment="1">
      <alignment vertical="center" wrapText="1"/>
    </xf>
    <xf numFmtId="0" fontId="23" fillId="0" borderId="12" xfId="2" applyNumberFormat="1" applyFont="1" applyBorder="1" applyAlignment="1">
      <alignment horizontal="center" vertical="center" wrapText="1"/>
    </xf>
    <xf numFmtId="0" fontId="23" fillId="0" borderId="1" xfId="2" applyNumberFormat="1" applyFont="1" applyBorder="1" applyAlignment="1">
      <alignment horizontal="center" vertical="center" wrapText="1"/>
    </xf>
    <xf numFmtId="164" fontId="23" fillId="0" borderId="1" xfId="2" applyNumberFormat="1" applyFont="1" applyBorder="1" applyAlignment="1">
      <alignment vertical="center" wrapText="1"/>
    </xf>
    <xf numFmtId="165" fontId="23" fillId="0" borderId="1" xfId="2" applyNumberFormat="1" applyFont="1" applyBorder="1" applyAlignment="1">
      <alignment vertical="center" wrapText="1"/>
    </xf>
    <xf numFmtId="0" fontId="23" fillId="0" borderId="10" xfId="2" applyNumberFormat="1" applyFont="1" applyBorder="1" applyAlignment="1">
      <alignment horizontal="center" vertical="center" wrapText="1"/>
    </xf>
    <xf numFmtId="0" fontId="23" fillId="0" borderId="11" xfId="2" applyNumberFormat="1" applyFont="1" applyBorder="1" applyAlignment="1">
      <alignment horizontal="center" vertical="center" wrapText="1"/>
    </xf>
    <xf numFmtId="164" fontId="23" fillId="0" borderId="11" xfId="2" applyNumberFormat="1" applyFont="1" applyBorder="1" applyAlignment="1">
      <alignment vertical="center" wrapText="1"/>
    </xf>
    <xf numFmtId="165" fontId="23" fillId="0" borderId="11" xfId="2" applyNumberFormat="1" applyFont="1" applyBorder="1" applyAlignment="1">
      <alignment vertical="center" wrapText="1"/>
    </xf>
    <xf numFmtId="164" fontId="6" fillId="0" borderId="13" xfId="2" applyNumberFormat="1" applyFont="1" applyBorder="1" applyAlignment="1">
      <alignment vertical="center" wrapText="1"/>
    </xf>
    <xf numFmtId="4" fontId="3" fillId="0" borderId="0" xfId="2" applyNumberFormat="1" applyFont="1" applyAlignment="1">
      <alignment vertical="center"/>
    </xf>
    <xf numFmtId="4" fontId="3" fillId="0" borderId="0" xfId="2" applyNumberFormat="1" applyFont="1" applyBorder="1" applyAlignment="1">
      <alignment vertical="center" wrapText="1"/>
    </xf>
    <xf numFmtId="4" fontId="3" fillId="0" borderId="0" xfId="2" applyNumberFormat="1" applyFont="1" applyFill="1" applyBorder="1" applyAlignment="1">
      <alignment vertical="center" wrapText="1"/>
    </xf>
    <xf numFmtId="4" fontId="3" fillId="0" borderId="0" xfId="2" applyNumberFormat="1" applyFont="1" applyAlignment="1">
      <alignment vertical="center" wrapText="1"/>
    </xf>
    <xf numFmtId="0" fontId="6" fillId="0" borderId="0" xfId="2" applyFont="1" applyAlignment="1">
      <alignment horizontal="center" vertical="center" wrapText="1"/>
    </xf>
    <xf numFmtId="0" fontId="6" fillId="0" borderId="5" xfId="2" applyFont="1" applyBorder="1" applyAlignment="1">
      <alignment vertical="center" wrapText="1"/>
    </xf>
    <xf numFmtId="4" fontId="3" fillId="4" borderId="3" xfId="2" applyNumberFormat="1" applyFont="1" applyFill="1" applyBorder="1" applyAlignment="1">
      <alignment vertical="center" wrapText="1"/>
    </xf>
    <xf numFmtId="4" fontId="18" fillId="4" borderId="3" xfId="2" applyNumberFormat="1" applyFont="1" applyFill="1" applyBorder="1" applyAlignment="1">
      <alignment vertical="center" wrapText="1"/>
    </xf>
    <xf numFmtId="4" fontId="5" fillId="0" borderId="12" xfId="2" applyNumberFormat="1" applyFont="1" applyBorder="1" applyAlignment="1">
      <alignment vertical="center" wrapText="1"/>
    </xf>
    <xf numFmtId="4" fontId="5" fillId="0" borderId="0" xfId="2" applyNumberFormat="1" applyFont="1" applyBorder="1" applyAlignment="1">
      <alignment vertical="center" wrapText="1"/>
    </xf>
    <xf numFmtId="4" fontId="5" fillId="4" borderId="10" xfId="2" applyNumberFormat="1" applyFont="1" applyFill="1" applyBorder="1" applyAlignment="1">
      <alignment vertical="center" wrapText="1"/>
    </xf>
    <xf numFmtId="4" fontId="5" fillId="0" borderId="1" xfId="2" applyNumberFormat="1" applyFont="1" applyBorder="1" applyAlignment="1">
      <alignment horizontal="right" vertical="center" wrapText="1"/>
    </xf>
    <xf numFmtId="4" fontId="6" fillId="0" borderId="12" xfId="2" applyNumberFormat="1" applyFont="1" applyBorder="1" applyAlignment="1">
      <alignment vertical="center" wrapText="1"/>
    </xf>
    <xf numFmtId="4" fontId="6" fillId="0" borderId="0" xfId="2" applyNumberFormat="1" applyFont="1" applyBorder="1" applyAlignment="1">
      <alignment vertical="center" wrapText="1"/>
    </xf>
    <xf numFmtId="4" fontId="7" fillId="4" borderId="12" xfId="2" applyNumberFormat="1" applyFont="1" applyFill="1" applyBorder="1" applyAlignment="1">
      <alignment vertical="center" wrapText="1"/>
    </xf>
    <xf numFmtId="4" fontId="18" fillId="4" borderId="12" xfId="2" applyNumberFormat="1" applyFont="1" applyFill="1" applyBorder="1" applyAlignment="1">
      <alignment horizontal="center" vertical="center" wrapText="1"/>
    </xf>
    <xf numFmtId="4" fontId="6" fillId="0" borderId="1" xfId="2" applyNumberFormat="1" applyFont="1" applyBorder="1" applyAlignment="1">
      <alignment horizontal="right" vertical="center" wrapText="1"/>
    </xf>
    <xf numFmtId="4" fontId="6" fillId="4" borderId="12" xfId="2" applyNumberFormat="1" applyFont="1" applyFill="1" applyBorder="1" applyAlignment="1">
      <alignment vertical="center" wrapText="1"/>
    </xf>
    <xf numFmtId="4" fontId="6" fillId="0" borderId="10" xfId="2" applyNumberFormat="1" applyFont="1" applyBorder="1" applyAlignment="1">
      <alignment vertical="center" wrapText="1"/>
    </xf>
    <xf numFmtId="4" fontId="6" fillId="0" borderId="14" xfId="2" applyNumberFormat="1" applyFont="1" applyBorder="1" applyAlignment="1">
      <alignment vertical="center" wrapText="1"/>
    </xf>
    <xf numFmtId="4" fontId="6" fillId="4" borderId="10" xfId="2" applyNumberFormat="1" applyFont="1" applyFill="1" applyBorder="1" applyAlignment="1">
      <alignment vertical="center" wrapText="1"/>
    </xf>
    <xf numFmtId="4" fontId="6" fillId="0" borderId="11" xfId="2" applyNumberFormat="1" applyFont="1" applyBorder="1" applyAlignment="1">
      <alignment horizontal="right" vertical="center" wrapText="1"/>
    </xf>
    <xf numFmtId="4" fontId="6" fillId="0" borderId="18" xfId="2" applyNumberFormat="1" applyFont="1" applyBorder="1" applyAlignment="1">
      <alignment vertical="center" wrapText="1"/>
    </xf>
    <xf numFmtId="4" fontId="6" fillId="0" borderId="7" xfId="2" applyNumberFormat="1" applyFont="1" applyBorder="1" applyAlignment="1">
      <alignment vertical="center" wrapText="1"/>
    </xf>
    <xf numFmtId="4" fontId="6" fillId="0" borderId="5" xfId="2" applyNumberFormat="1" applyFont="1" applyBorder="1" applyAlignment="1">
      <alignment vertical="center" wrapText="1"/>
    </xf>
    <xf numFmtId="4" fontId="6" fillId="4" borderId="7" xfId="2" applyNumberFormat="1" applyFont="1" applyFill="1" applyBorder="1" applyAlignment="1">
      <alignment vertical="center" wrapText="1"/>
    </xf>
    <xf numFmtId="4" fontId="6" fillId="0" borderId="20" xfId="2" applyNumberFormat="1" applyFont="1" applyBorder="1" applyAlignment="1">
      <alignment horizontal="right" vertical="center" wrapText="1"/>
    </xf>
    <xf numFmtId="4" fontId="6" fillId="0" borderId="10" xfId="2" applyNumberFormat="1" applyFont="1" applyBorder="1" applyAlignment="1">
      <alignment horizontal="right" vertical="center" wrapText="1"/>
    </xf>
    <xf numFmtId="4" fontId="6" fillId="0" borderId="14" xfId="2" applyNumberFormat="1" applyFont="1" applyBorder="1" applyAlignment="1">
      <alignment horizontal="right" vertical="center" wrapText="1"/>
    </xf>
    <xf numFmtId="4" fontId="6" fillId="4" borderId="10" xfId="2" applyNumberFormat="1" applyFont="1" applyFill="1" applyBorder="1" applyAlignment="1">
      <alignment horizontal="right" vertical="center" wrapText="1"/>
    </xf>
    <xf numFmtId="4" fontId="6" fillId="0" borderId="10" xfId="2" applyNumberFormat="1" applyFont="1" applyFill="1" applyBorder="1" applyAlignment="1">
      <alignment horizontal="right" vertical="center" wrapText="1"/>
    </xf>
    <xf numFmtId="4" fontId="6" fillId="0" borderId="1" xfId="2" applyNumberFormat="1" applyFont="1" applyBorder="1" applyAlignment="1">
      <alignment vertical="center" wrapText="1"/>
    </xf>
    <xf numFmtId="4" fontId="19" fillId="7" borderId="12" xfId="2" applyNumberFormat="1" applyFont="1" applyFill="1" applyBorder="1" applyAlignment="1">
      <alignment vertical="center" wrapText="1"/>
    </xf>
    <xf numFmtId="4" fontId="6" fillId="0" borderId="12" xfId="2" applyNumberFormat="1" applyFont="1" applyFill="1" applyBorder="1" applyAlignment="1">
      <alignment vertical="center" wrapText="1"/>
    </xf>
    <xf numFmtId="4" fontId="6" fillId="0" borderId="0" xfId="2" applyNumberFormat="1" applyFont="1" applyFill="1" applyBorder="1" applyAlignment="1">
      <alignment vertical="center" wrapText="1"/>
    </xf>
    <xf numFmtId="4" fontId="6" fillId="0" borderId="22" xfId="2" applyNumberFormat="1" applyFont="1" applyBorder="1" applyAlignment="1">
      <alignment vertical="center" wrapText="1"/>
    </xf>
    <xf numFmtId="4" fontId="18" fillId="4" borderId="4" xfId="2" applyNumberFormat="1" applyFont="1" applyFill="1" applyBorder="1" applyAlignment="1">
      <alignment vertical="center" wrapText="1"/>
    </xf>
    <xf numFmtId="4" fontId="6" fillId="0" borderId="2" xfId="2" applyNumberFormat="1" applyFont="1" applyBorder="1" applyAlignment="1">
      <alignment vertical="center" wrapText="1"/>
    </xf>
    <xf numFmtId="4" fontId="6" fillId="7" borderId="12" xfId="2" applyNumberFormat="1" applyFont="1" applyFill="1" applyBorder="1" applyAlignment="1">
      <alignment vertical="center" wrapText="1"/>
    </xf>
    <xf numFmtId="4" fontId="6" fillId="0" borderId="11" xfId="2" applyNumberFormat="1" applyFont="1" applyBorder="1" applyAlignment="1">
      <alignment vertical="center" wrapText="1"/>
    </xf>
    <xf numFmtId="4" fontId="6" fillId="0" borderId="21" xfId="2" applyNumberFormat="1" applyFont="1" applyBorder="1" applyAlignment="1">
      <alignment vertical="center" wrapText="1"/>
    </xf>
    <xf numFmtId="4" fontId="6" fillId="0" borderId="1" xfId="2" applyNumberFormat="1" applyFont="1" applyFill="1" applyBorder="1" applyAlignment="1">
      <alignment vertical="center" wrapText="1"/>
    </xf>
    <xf numFmtId="4" fontId="6" fillId="0" borderId="7" xfId="2" applyNumberFormat="1" applyFont="1" applyFill="1" applyBorder="1" applyAlignment="1">
      <alignment vertical="center" wrapText="1"/>
    </xf>
    <xf numFmtId="4" fontId="6" fillId="0" borderId="10" xfId="2" applyNumberFormat="1" applyFont="1" applyFill="1" applyBorder="1" applyAlignment="1">
      <alignment vertical="center" wrapText="1"/>
    </xf>
    <xf numFmtId="4" fontId="6" fillId="0" borderId="14" xfId="2" applyNumberFormat="1" applyFont="1" applyFill="1" applyBorder="1" applyAlignment="1">
      <alignment vertical="center" wrapText="1"/>
    </xf>
    <xf numFmtId="4" fontId="7" fillId="4" borderId="10" xfId="2" applyNumberFormat="1" applyFont="1" applyFill="1" applyBorder="1" applyAlignment="1">
      <alignment vertical="center" wrapText="1"/>
    </xf>
    <xf numFmtId="4" fontId="6" fillId="0" borderId="11" xfId="2" applyNumberFormat="1" applyFont="1" applyFill="1" applyBorder="1" applyAlignment="1">
      <alignment vertical="center" wrapText="1"/>
    </xf>
    <xf numFmtId="4" fontId="6" fillId="0" borderId="5" xfId="2" applyNumberFormat="1" applyFont="1" applyFill="1" applyBorder="1" applyAlignment="1">
      <alignment vertical="center" wrapText="1"/>
    </xf>
    <xf numFmtId="4" fontId="7" fillId="4" borderId="7" xfId="2" applyNumberFormat="1" applyFont="1" applyFill="1" applyBorder="1" applyAlignment="1">
      <alignment vertical="center" wrapText="1"/>
    </xf>
    <xf numFmtId="4" fontId="6" fillId="0" borderId="2" xfId="2" applyNumberFormat="1" applyFont="1" applyFill="1" applyBorder="1" applyAlignment="1">
      <alignment vertical="center" wrapText="1"/>
    </xf>
    <xf numFmtId="4" fontId="5" fillId="0" borderId="14" xfId="2" applyNumberFormat="1" applyFont="1" applyBorder="1" applyAlignment="1">
      <alignment vertical="center" wrapText="1"/>
    </xf>
    <xf numFmtId="4" fontId="5" fillId="0" borderId="10" xfId="2" applyNumberFormat="1" applyFont="1" applyBorder="1" applyAlignment="1">
      <alignment vertical="center" wrapText="1"/>
    </xf>
    <xf numFmtId="166" fontId="6" fillId="0" borderId="12" xfId="2" applyNumberFormat="1" applyFont="1" applyBorder="1" applyAlignment="1">
      <alignment vertical="center" wrapText="1"/>
    </xf>
    <xf numFmtId="4" fontId="6" fillId="4" borderId="3" xfId="2" applyNumberFormat="1" applyFont="1" applyFill="1" applyBorder="1" applyAlignment="1">
      <alignment vertical="center" wrapText="1"/>
    </xf>
    <xf numFmtId="4" fontId="6" fillId="7" borderId="10" xfId="2" applyNumberFormat="1" applyFont="1" applyFill="1" applyBorder="1" applyAlignment="1">
      <alignment vertical="center" wrapText="1"/>
    </xf>
    <xf numFmtId="4" fontId="6" fillId="0" borderId="3" xfId="2" applyNumberFormat="1" applyFont="1" applyBorder="1" applyAlignment="1">
      <alignment vertical="center" wrapText="1"/>
    </xf>
    <xf numFmtId="4" fontId="6" fillId="0" borderId="4" xfId="2" applyNumberFormat="1" applyFont="1" applyBorder="1" applyAlignment="1">
      <alignment vertical="center" wrapText="1"/>
    </xf>
    <xf numFmtId="4" fontId="5" fillId="4" borderId="13" xfId="2" applyNumberFormat="1" applyFont="1" applyFill="1" applyBorder="1" applyAlignment="1">
      <alignment vertical="center" wrapText="1"/>
    </xf>
    <xf numFmtId="4" fontId="18" fillId="4" borderId="3" xfId="2" applyNumberFormat="1" applyFont="1" applyFill="1" applyBorder="1" applyAlignment="1">
      <alignment horizontal="center" vertical="center" wrapText="1"/>
    </xf>
    <xf numFmtId="4" fontId="6" fillId="4" borderId="4" xfId="2" applyNumberFormat="1" applyFont="1" applyFill="1" applyBorder="1" applyAlignment="1">
      <alignment vertical="center" wrapText="1"/>
    </xf>
    <xf numFmtId="4" fontId="6" fillId="4" borderId="13" xfId="2" applyNumberFormat="1" applyFont="1" applyFill="1" applyBorder="1" applyAlignment="1">
      <alignment horizontal="right" vertical="center" wrapText="1"/>
    </xf>
    <xf numFmtId="4" fontId="3" fillId="4" borderId="4" xfId="2" applyNumberFormat="1" applyFont="1" applyFill="1" applyBorder="1" applyAlignment="1">
      <alignment vertical="center" wrapText="1"/>
    </xf>
    <xf numFmtId="4" fontId="5" fillId="0" borderId="1" xfId="2" applyNumberFormat="1" applyFont="1" applyBorder="1" applyAlignment="1">
      <alignment vertical="center" wrapText="1"/>
    </xf>
    <xf numFmtId="0" fontId="10" fillId="0" borderId="17" xfId="2" applyFont="1" applyBorder="1" applyAlignment="1">
      <alignment horizontal="center" vertical="center"/>
    </xf>
    <xf numFmtId="4" fontId="6" fillId="0" borderId="22" xfId="2" applyNumberFormat="1" applyFont="1" applyBorder="1" applyAlignment="1">
      <alignment horizontal="right" vertical="center" wrapText="1"/>
    </xf>
    <xf numFmtId="4" fontId="6" fillId="0" borderId="23" xfId="2" applyNumberFormat="1" applyFont="1" applyBorder="1" applyAlignment="1">
      <alignment horizontal="right" vertical="center" wrapText="1"/>
    </xf>
    <xf numFmtId="4" fontId="6" fillId="0" borderId="21" xfId="2" applyNumberFormat="1" applyFont="1" applyBorder="1" applyAlignment="1">
      <alignment horizontal="right" vertical="center" wrapText="1"/>
    </xf>
    <xf numFmtId="4" fontId="6" fillId="0" borderId="22" xfId="2" applyNumberFormat="1" applyFont="1" applyFill="1" applyBorder="1" applyAlignment="1">
      <alignment vertical="center" wrapText="1"/>
    </xf>
    <xf numFmtId="4" fontId="6" fillId="0" borderId="23" xfId="2" applyNumberFormat="1" applyFont="1" applyFill="1" applyBorder="1" applyAlignment="1">
      <alignment vertical="center" wrapText="1"/>
    </xf>
    <xf numFmtId="4" fontId="6" fillId="0" borderId="21" xfId="2" applyNumberFormat="1" applyFont="1" applyFill="1" applyBorder="1" applyAlignment="1">
      <alignment vertical="center" wrapText="1"/>
    </xf>
    <xf numFmtId="0" fontId="10" fillId="0" borderId="16" xfId="2" applyFont="1" applyBorder="1" applyAlignment="1">
      <alignment horizontal="center" vertical="center"/>
    </xf>
    <xf numFmtId="4" fontId="5" fillId="0" borderId="18" xfId="2" applyNumberFormat="1" applyFont="1" applyBorder="1" applyAlignment="1">
      <alignment vertical="center" wrapText="1"/>
    </xf>
    <xf numFmtId="4" fontId="6" fillId="0" borderId="20" xfId="2" applyNumberFormat="1" applyFont="1" applyBorder="1" applyAlignment="1">
      <alignment vertical="center" wrapText="1"/>
    </xf>
    <xf numFmtId="4" fontId="6" fillId="0" borderId="19" xfId="2" applyNumberFormat="1" applyFont="1" applyBorder="1" applyAlignment="1">
      <alignment horizontal="right" vertical="center" wrapText="1"/>
    </xf>
    <xf numFmtId="4" fontId="6" fillId="0" borderId="18" xfId="2" applyNumberFormat="1" applyFont="1" applyFill="1" applyBorder="1" applyAlignment="1">
      <alignment vertical="center" wrapText="1"/>
    </xf>
    <xf numFmtId="4" fontId="6" fillId="7" borderId="18" xfId="2" applyNumberFormat="1" applyFont="1" applyFill="1" applyBorder="1" applyAlignment="1">
      <alignment vertical="center" wrapText="1"/>
    </xf>
    <xf numFmtId="4" fontId="6" fillId="0" borderId="20" xfId="2" applyNumberFormat="1" applyFont="1" applyFill="1" applyBorder="1" applyAlignment="1">
      <alignment vertical="center" wrapText="1"/>
    </xf>
    <xf numFmtId="0" fontId="3" fillId="0" borderId="13" xfId="2" applyFont="1" applyBorder="1" applyAlignment="1">
      <alignment vertical="center" wrapText="1"/>
    </xf>
    <xf numFmtId="0" fontId="3" fillId="0" borderId="14" xfId="2" applyFont="1" applyBorder="1" applyAlignment="1">
      <alignment vertical="center" wrapText="1"/>
    </xf>
    <xf numFmtId="0" fontId="3" fillId="0" borderId="14" xfId="2" applyNumberFormat="1" applyFont="1" applyBorder="1" applyAlignment="1">
      <alignment vertical="center" wrapText="1"/>
    </xf>
    <xf numFmtId="0" fontId="3" fillId="0" borderId="3" xfId="2" applyFont="1" applyBorder="1" applyAlignment="1">
      <alignment vertical="center" wrapText="1"/>
    </xf>
    <xf numFmtId="0" fontId="3" fillId="0" borderId="5" xfId="2" applyFont="1" applyBorder="1" applyAlignment="1">
      <alignment vertical="center" wrapText="1"/>
    </xf>
    <xf numFmtId="0" fontId="3" fillId="0" borderId="5" xfId="2" applyNumberFormat="1" applyFont="1" applyBorder="1" applyAlignment="1">
      <alignment vertical="center" wrapText="1"/>
    </xf>
    <xf numFmtId="165" fontId="5" fillId="0" borderId="10" xfId="2" applyNumberFormat="1" applyFont="1" applyBorder="1" applyAlignment="1">
      <alignment horizontal="left" vertical="center" wrapText="1"/>
    </xf>
    <xf numFmtId="165" fontId="7" fillId="0" borderId="12" xfId="2" applyNumberFormat="1" applyFont="1" applyBorder="1" applyAlignment="1">
      <alignment vertical="center" wrapText="1"/>
    </xf>
    <xf numFmtId="165" fontId="6" fillId="0" borderId="12" xfId="2" applyNumberFormat="1" applyFont="1" applyBorder="1" applyAlignment="1">
      <alignment vertical="center" wrapText="1"/>
    </xf>
    <xf numFmtId="0" fontId="6" fillId="0" borderId="0" xfId="2" applyFont="1" applyBorder="1" applyAlignment="1">
      <alignment vertical="center" wrapText="1"/>
    </xf>
    <xf numFmtId="4" fontId="5" fillId="0" borderId="23" xfId="2" applyNumberFormat="1" applyFont="1" applyBorder="1" applyAlignment="1">
      <alignment vertical="center" wrapText="1"/>
    </xf>
    <xf numFmtId="166" fontId="6" fillId="0" borderId="18" xfId="2" applyNumberFormat="1" applyFont="1" applyBorder="1" applyAlignment="1">
      <alignment vertical="center" wrapText="1"/>
    </xf>
    <xf numFmtId="166" fontId="6" fillId="4" borderId="12" xfId="2" applyNumberFormat="1" applyFont="1" applyFill="1" applyBorder="1" applyAlignment="1">
      <alignment vertical="center" wrapText="1"/>
    </xf>
    <xf numFmtId="166" fontId="6" fillId="4" borderId="3" xfId="2" applyNumberFormat="1" applyFont="1" applyFill="1" applyBorder="1" applyAlignment="1">
      <alignment vertical="center" wrapText="1"/>
    </xf>
    <xf numFmtId="166" fontId="6" fillId="0" borderId="10" xfId="2" applyNumberFormat="1" applyFont="1" applyBorder="1" applyAlignment="1">
      <alignment vertical="center" wrapText="1"/>
    </xf>
    <xf numFmtId="166" fontId="6" fillId="0" borderId="11" xfId="2" applyNumberFormat="1" applyFont="1" applyBorder="1" applyAlignment="1">
      <alignment vertical="center" wrapText="1"/>
    </xf>
    <xf numFmtId="166" fontId="6" fillId="4" borderId="10" xfId="2" applyNumberFormat="1" applyFont="1" applyFill="1" applyBorder="1" applyAlignment="1">
      <alignment vertical="center" wrapText="1"/>
    </xf>
    <xf numFmtId="166" fontId="6" fillId="0" borderId="19" xfId="2" applyNumberFormat="1" applyFont="1" applyBorder="1" applyAlignment="1">
      <alignment vertical="center" wrapText="1"/>
    </xf>
    <xf numFmtId="166" fontId="6" fillId="4" borderId="13" xfId="2" applyNumberFormat="1" applyFont="1" applyFill="1" applyBorder="1" applyAlignment="1">
      <alignment vertical="center" wrapText="1"/>
    </xf>
    <xf numFmtId="166" fontId="6" fillId="6" borderId="12" xfId="2" applyNumberFormat="1" applyFont="1" applyFill="1" applyBorder="1" applyAlignment="1">
      <alignment vertical="center" wrapText="1"/>
    </xf>
    <xf numFmtId="166" fontId="6" fillId="6" borderId="3" xfId="2" applyNumberFormat="1" applyFont="1" applyFill="1" applyBorder="1" applyAlignment="1">
      <alignment vertical="center" wrapText="1"/>
    </xf>
    <xf numFmtId="4" fontId="20" fillId="2" borderId="0" xfId="2" applyNumberFormat="1" applyFont="1" applyFill="1" applyAlignment="1">
      <alignment vertical="center" wrapText="1"/>
    </xf>
    <xf numFmtId="4" fontId="17" fillId="2" borderId="0" xfId="2" applyNumberFormat="1" applyFont="1" applyFill="1" applyAlignment="1">
      <alignment vertical="center" wrapText="1"/>
    </xf>
    <xf numFmtId="4" fontId="17" fillId="0" borderId="0" xfId="2" applyNumberFormat="1" applyFont="1" applyAlignment="1">
      <alignment vertical="center" wrapText="1"/>
    </xf>
    <xf numFmtId="4" fontId="16" fillId="2" borderId="0" xfId="2" applyNumberFormat="1" applyFont="1" applyFill="1" applyAlignment="1">
      <alignment vertical="center" wrapText="1"/>
    </xf>
    <xf numFmtId="4" fontId="21" fillId="2" borderId="0" xfId="2" applyNumberFormat="1" applyFont="1" applyFill="1" applyAlignment="1">
      <alignment vertical="center" wrapText="1"/>
    </xf>
    <xf numFmtId="4" fontId="20" fillId="3" borderId="0" xfId="2" applyNumberFormat="1" applyFont="1" applyFill="1" applyAlignment="1">
      <alignment vertical="center" wrapText="1"/>
    </xf>
    <xf numFmtId="4" fontId="17" fillId="8" borderId="0" xfId="2" applyNumberFormat="1" applyFont="1" applyFill="1" applyAlignment="1">
      <alignment vertical="center" wrapText="1"/>
    </xf>
    <xf numFmtId="4" fontId="17" fillId="5" borderId="0" xfId="2" applyNumberFormat="1" applyFont="1" applyFill="1" applyAlignment="1">
      <alignment vertical="center" wrapText="1"/>
    </xf>
    <xf numFmtId="4" fontId="17" fillId="3" borderId="0" xfId="2" applyNumberFormat="1" applyFont="1" applyFill="1" applyAlignment="1">
      <alignment vertical="center" wrapText="1"/>
    </xf>
    <xf numFmtId="4" fontId="5" fillId="0" borderId="23" xfId="2" applyNumberFormat="1" applyFont="1" applyBorder="1" applyAlignment="1">
      <alignment horizontal="right" vertical="center" wrapText="1"/>
    </xf>
    <xf numFmtId="0" fontId="6" fillId="0" borderId="10" xfId="2" applyFont="1" applyBorder="1" applyAlignment="1">
      <alignment vertical="center"/>
    </xf>
    <xf numFmtId="0" fontId="6" fillId="0" borderId="10" xfId="2" applyNumberFormat="1" applyFont="1" applyBorder="1" applyAlignment="1">
      <alignment vertical="center"/>
    </xf>
    <xf numFmtId="0" fontId="6" fillId="0" borderId="10" xfId="2" applyFont="1" applyBorder="1" applyAlignment="1">
      <alignment horizontal="left" vertical="center"/>
    </xf>
    <xf numFmtId="0" fontId="6" fillId="0" borderId="11" xfId="2" applyFont="1" applyBorder="1" applyAlignment="1">
      <alignment vertical="center"/>
    </xf>
    <xf numFmtId="0" fontId="6" fillId="0" borderId="11" xfId="2" applyFont="1" applyBorder="1" applyAlignment="1">
      <alignment horizontal="center" vertical="center"/>
    </xf>
    <xf numFmtId="0" fontId="6" fillId="0" borderId="12" xfId="2" applyFont="1" applyBorder="1" applyAlignment="1">
      <alignment horizontal="center" vertical="center"/>
    </xf>
    <xf numFmtId="0" fontId="6" fillId="0" borderId="12" xfId="2" applyNumberFormat="1" applyFont="1" applyBorder="1" applyAlignment="1">
      <alignment horizontal="center" vertical="center"/>
    </xf>
    <xf numFmtId="0" fontId="6" fillId="0" borderId="12" xfId="2" applyFont="1" applyBorder="1" applyAlignment="1">
      <alignment horizontal="left" vertical="center"/>
    </xf>
    <xf numFmtId="0" fontId="6" fillId="0" borderId="1" xfId="2" applyFont="1" applyBorder="1" applyAlignment="1">
      <alignment horizontal="center" vertical="center"/>
    </xf>
    <xf numFmtId="0" fontId="6" fillId="0" borderId="7" xfId="2" applyFont="1" applyBorder="1" applyAlignment="1">
      <alignment horizontal="center" vertical="center"/>
    </xf>
    <xf numFmtId="0" fontId="6" fillId="0" borderId="2" xfId="2" applyNumberFormat="1" applyFont="1" applyBorder="1" applyAlignment="1">
      <alignment horizontal="center" vertical="center"/>
    </xf>
    <xf numFmtId="0" fontId="6" fillId="0" borderId="7" xfId="2" applyFont="1" applyBorder="1" applyAlignment="1">
      <alignment horizontal="left" vertical="center"/>
    </xf>
    <xf numFmtId="0" fontId="6" fillId="0" borderId="2" xfId="2" applyFont="1" applyBorder="1" applyAlignment="1">
      <alignment horizontal="center" vertical="center"/>
    </xf>
    <xf numFmtId="0" fontId="6" fillId="0" borderId="4" xfId="2" applyFont="1" applyBorder="1" applyAlignment="1">
      <alignment horizontal="center" vertical="center"/>
    </xf>
    <xf numFmtId="0" fontId="6" fillId="0" borderId="5" xfId="2" applyFont="1" applyBorder="1" applyAlignment="1">
      <alignment horizontal="center" vertical="center" wrapText="1"/>
    </xf>
    <xf numFmtId="14" fontId="6" fillId="0" borderId="2" xfId="2" applyNumberFormat="1" applyFont="1" applyBorder="1" applyAlignment="1">
      <alignment horizontal="center" vertical="center" wrapText="1"/>
    </xf>
    <xf numFmtId="0" fontId="7" fillId="4" borderId="5" xfId="1" applyFont="1" applyFill="1" applyBorder="1" applyAlignment="1">
      <alignment horizontal="center" vertical="center"/>
    </xf>
    <xf numFmtId="14" fontId="6" fillId="0" borderId="5" xfId="2" applyNumberFormat="1" applyFont="1" applyBorder="1" applyAlignment="1">
      <alignment horizontal="center" vertical="center" wrapText="1"/>
    </xf>
    <xf numFmtId="14" fontId="6" fillId="0" borderId="20" xfId="2" applyNumberFormat="1" applyFont="1" applyBorder="1" applyAlignment="1">
      <alignment horizontal="center" vertical="center" wrapText="1"/>
    </xf>
    <xf numFmtId="14" fontId="7" fillId="4" borderId="7" xfId="1" applyNumberFormat="1" applyFont="1" applyFill="1" applyBorder="1" applyAlignment="1">
      <alignment horizontal="center" vertical="center"/>
    </xf>
    <xf numFmtId="14" fontId="7" fillId="4" borderId="4" xfId="1" applyNumberFormat="1" applyFont="1" applyFill="1" applyBorder="1" applyAlignment="1">
      <alignment horizontal="center" vertical="center"/>
    </xf>
    <xf numFmtId="0" fontId="5" fillId="0" borderId="2" xfId="2" applyNumberFormat="1" applyFont="1" applyBorder="1" applyAlignment="1">
      <alignment horizontal="center" vertical="center" wrapText="1"/>
    </xf>
    <xf numFmtId="164" fontId="5" fillId="0" borderId="2" xfId="2" applyNumberFormat="1" applyFont="1" applyBorder="1" applyAlignment="1">
      <alignment vertical="center" wrapText="1"/>
    </xf>
    <xf numFmtId="4" fontId="4" fillId="0" borderId="0" xfId="2" applyNumberFormat="1" applyFont="1" applyBorder="1" applyAlignment="1">
      <alignment vertical="center" wrapText="1"/>
    </xf>
    <xf numFmtId="4" fontId="4" fillId="0" borderId="0" xfId="2" applyNumberFormat="1" applyFont="1" applyAlignment="1">
      <alignment vertical="center" wrapText="1"/>
    </xf>
    <xf numFmtId="0" fontId="4" fillId="0" borderId="0" xfId="2" applyFont="1" applyBorder="1" applyAlignment="1">
      <alignment vertical="center" wrapText="1"/>
    </xf>
    <xf numFmtId="0" fontId="4" fillId="0" borderId="0" xfId="2" applyFont="1" applyAlignment="1">
      <alignment vertical="center" wrapText="1"/>
    </xf>
    <xf numFmtId="0" fontId="4" fillId="0" borderId="0" xfId="2" quotePrefix="1" applyFont="1" applyBorder="1" applyAlignment="1">
      <alignment vertical="center" wrapText="1"/>
    </xf>
    <xf numFmtId="0" fontId="6" fillId="0" borderId="0" xfId="2" applyFont="1" applyAlignment="1">
      <alignment vertical="center"/>
    </xf>
    <xf numFmtId="0" fontId="6" fillId="0" borderId="0" xfId="2" applyFont="1" applyBorder="1" applyAlignment="1">
      <alignment horizontal="right" vertical="center"/>
    </xf>
    <xf numFmtId="4" fontId="6" fillId="0" borderId="0" xfId="2" applyNumberFormat="1" applyFont="1" applyAlignment="1">
      <alignment vertical="center" wrapText="1"/>
    </xf>
    <xf numFmtId="4" fontId="24" fillId="2" borderId="0" xfId="2" applyNumberFormat="1" applyFont="1" applyFill="1" applyAlignment="1">
      <alignment vertical="center" wrapText="1"/>
    </xf>
    <xf numFmtId="4" fontId="25" fillId="2" borderId="0" xfId="2" applyNumberFormat="1" applyFont="1" applyFill="1" applyAlignment="1">
      <alignment vertical="center" wrapText="1"/>
    </xf>
    <xf numFmtId="4" fontId="25" fillId="0" borderId="0" xfId="2" applyNumberFormat="1" applyFont="1" applyAlignment="1">
      <alignment vertical="center" wrapText="1"/>
    </xf>
    <xf numFmtId="4" fontId="26" fillId="2" borderId="0" xfId="2" applyNumberFormat="1" applyFont="1" applyFill="1" applyAlignment="1">
      <alignment vertical="center" wrapText="1"/>
    </xf>
    <xf numFmtId="4" fontId="24" fillId="3" borderId="0" xfId="2" applyNumberFormat="1" applyFont="1" applyFill="1" applyAlignment="1">
      <alignment vertical="center" wrapText="1"/>
    </xf>
    <xf numFmtId="4" fontId="25" fillId="8" borderId="0" xfId="2" applyNumberFormat="1" applyFont="1" applyFill="1" applyAlignment="1">
      <alignment vertical="center" wrapText="1"/>
    </xf>
    <xf numFmtId="4" fontId="25" fillId="5" borderId="0" xfId="2" applyNumberFormat="1" applyFont="1" applyFill="1" applyAlignment="1">
      <alignment vertical="center" wrapText="1"/>
    </xf>
    <xf numFmtId="4" fontId="25" fillId="3" borderId="0" xfId="2" applyNumberFormat="1" applyFont="1" applyFill="1" applyAlignment="1">
      <alignment vertical="center" wrapText="1"/>
    </xf>
    <xf numFmtId="0" fontId="6" fillId="0" borderId="0" xfId="2" applyFont="1" applyAlignment="1">
      <alignment vertical="center" wrapText="1"/>
    </xf>
    <xf numFmtId="4" fontId="6" fillId="7" borderId="7" xfId="2" applyNumberFormat="1" applyFont="1" applyFill="1" applyBorder="1" applyAlignment="1">
      <alignment vertical="center" wrapText="1"/>
    </xf>
    <xf numFmtId="4" fontId="6" fillId="7" borderId="19" xfId="2" applyNumberFormat="1" applyFont="1" applyFill="1" applyBorder="1" applyAlignment="1">
      <alignment vertical="center" wrapText="1"/>
    </xf>
    <xf numFmtId="14" fontId="6" fillId="0" borderId="7" xfId="2" applyNumberFormat="1" applyFont="1" applyBorder="1" applyAlignment="1">
      <alignment horizontal="center" vertical="center" wrapText="1"/>
    </xf>
    <xf numFmtId="4" fontId="3" fillId="0" borderId="0" xfId="2" applyNumberFormat="1" applyFont="1" applyFill="1" applyAlignment="1">
      <alignment vertical="center" wrapText="1"/>
    </xf>
    <xf numFmtId="4" fontId="6" fillId="7" borderId="1" xfId="2" applyNumberFormat="1" applyFont="1" applyFill="1" applyBorder="1" applyAlignment="1">
      <alignment vertical="center" wrapText="1"/>
    </xf>
    <xf numFmtId="4" fontId="5" fillId="0" borderId="0" xfId="2" applyNumberFormat="1" applyFont="1" applyAlignment="1">
      <alignment vertical="center" wrapText="1"/>
    </xf>
    <xf numFmtId="4" fontId="5" fillId="10" borderId="0" xfId="2" applyNumberFormat="1" applyFont="1" applyFill="1" applyAlignment="1">
      <alignment vertical="center" wrapText="1"/>
    </xf>
    <xf numFmtId="4" fontId="6" fillId="10" borderId="0" xfId="2" applyNumberFormat="1" applyFont="1" applyFill="1" applyAlignment="1">
      <alignment vertical="center" wrapText="1"/>
    </xf>
    <xf numFmtId="0" fontId="6" fillId="10" borderId="0" xfId="2" applyFont="1" applyFill="1" applyAlignment="1">
      <alignment vertical="center" wrapText="1"/>
    </xf>
    <xf numFmtId="4" fontId="5" fillId="7" borderId="0" xfId="2" applyNumberFormat="1" applyFont="1" applyFill="1" applyAlignment="1">
      <alignment vertical="center" wrapText="1"/>
    </xf>
    <xf numFmtId="4" fontId="6" fillId="7" borderId="0" xfId="2" applyNumberFormat="1" applyFont="1" applyFill="1" applyAlignment="1">
      <alignment vertical="center" wrapText="1"/>
    </xf>
    <xf numFmtId="4" fontId="6" fillId="7" borderId="3" xfId="2" applyNumberFormat="1" applyFont="1" applyFill="1" applyBorder="1" applyAlignment="1">
      <alignment vertical="center" wrapText="1"/>
    </xf>
    <xf numFmtId="4" fontId="6" fillId="7" borderId="11" xfId="2" applyNumberFormat="1" applyFont="1" applyFill="1" applyBorder="1" applyAlignment="1">
      <alignment vertical="center" wrapText="1"/>
    </xf>
    <xf numFmtId="4" fontId="7" fillId="7" borderId="3" xfId="2" applyNumberFormat="1" applyFont="1" applyFill="1" applyBorder="1" applyAlignment="1">
      <alignment vertical="center" wrapText="1"/>
    </xf>
    <xf numFmtId="4" fontId="6" fillId="7" borderId="22" xfId="2" applyNumberFormat="1" applyFont="1" applyFill="1" applyBorder="1" applyAlignment="1">
      <alignment vertical="center" wrapText="1"/>
    </xf>
    <xf numFmtId="4" fontId="7" fillId="7" borderId="12" xfId="2" applyNumberFormat="1" applyFont="1" applyFill="1" applyBorder="1" applyAlignment="1">
      <alignment vertical="center" wrapText="1"/>
    </xf>
    <xf numFmtId="4" fontId="18" fillId="7" borderId="3" xfId="2" applyNumberFormat="1" applyFont="1" applyFill="1" applyBorder="1" applyAlignment="1">
      <alignment vertical="center" wrapText="1"/>
    </xf>
    <xf numFmtId="4" fontId="3" fillId="7" borderId="3" xfId="2" applyNumberFormat="1" applyFont="1" applyFill="1" applyBorder="1" applyAlignment="1">
      <alignment vertical="center" wrapText="1"/>
    </xf>
    <xf numFmtId="4" fontId="6" fillId="7" borderId="23" xfId="2" applyNumberFormat="1" applyFont="1" applyFill="1" applyBorder="1" applyAlignment="1">
      <alignment vertical="center" wrapText="1"/>
    </xf>
    <xf numFmtId="4" fontId="18" fillId="7" borderId="13" xfId="2" applyNumberFormat="1" applyFont="1" applyFill="1" applyBorder="1" applyAlignment="1">
      <alignment vertical="center" wrapText="1"/>
    </xf>
    <xf numFmtId="4" fontId="3" fillId="7" borderId="13" xfId="2" applyNumberFormat="1" applyFont="1" applyFill="1" applyBorder="1" applyAlignment="1">
      <alignment vertical="center" wrapText="1"/>
    </xf>
    <xf numFmtId="4" fontId="6" fillId="7" borderId="13" xfId="2" applyNumberFormat="1" applyFont="1" applyFill="1" applyBorder="1" applyAlignment="1">
      <alignment vertical="center" wrapText="1"/>
    </xf>
    <xf numFmtId="4" fontId="6" fillId="7" borderId="0" xfId="2" applyNumberFormat="1" applyFont="1" applyFill="1" applyBorder="1" applyAlignment="1">
      <alignment vertical="center" wrapText="1"/>
    </xf>
    <xf numFmtId="4" fontId="6" fillId="7" borderId="21" xfId="2" applyNumberFormat="1" applyFont="1" applyFill="1" applyBorder="1" applyAlignment="1">
      <alignment vertical="center" wrapText="1"/>
    </xf>
    <xf numFmtId="4" fontId="6" fillId="7" borderId="2" xfId="2" applyNumberFormat="1" applyFont="1" applyFill="1" applyBorder="1" applyAlignment="1">
      <alignment vertical="center" wrapText="1"/>
    </xf>
    <xf numFmtId="4" fontId="6" fillId="7" borderId="20" xfId="2" applyNumberFormat="1" applyFont="1" applyFill="1" applyBorder="1" applyAlignment="1">
      <alignment vertical="center" wrapText="1"/>
    </xf>
    <xf numFmtId="4" fontId="3" fillId="7" borderId="4" xfId="2" applyNumberFormat="1" applyFont="1" applyFill="1" applyBorder="1" applyAlignment="1">
      <alignment vertical="center" wrapText="1"/>
    </xf>
    <xf numFmtId="4" fontId="6" fillId="7" borderId="4" xfId="2" applyNumberFormat="1" applyFont="1" applyFill="1" applyBorder="1" applyAlignment="1">
      <alignment vertical="center" wrapText="1"/>
    </xf>
    <xf numFmtId="4" fontId="5" fillId="7" borderId="1" xfId="2" applyNumberFormat="1" applyFont="1" applyFill="1" applyBorder="1" applyAlignment="1">
      <alignment vertical="center" wrapText="1"/>
    </xf>
    <xf numFmtId="4" fontId="5" fillId="7" borderId="12" xfId="2" applyNumberFormat="1" applyFont="1" applyFill="1" applyBorder="1" applyAlignment="1">
      <alignment vertical="center" wrapText="1"/>
    </xf>
    <xf numFmtId="4" fontId="5" fillId="7" borderId="18" xfId="2" applyNumberFormat="1" applyFont="1" applyFill="1" applyBorder="1" applyAlignment="1">
      <alignment vertical="center" wrapText="1"/>
    </xf>
    <xf numFmtId="4" fontId="5" fillId="7" borderId="3" xfId="2" applyNumberFormat="1" applyFont="1" applyFill="1" applyBorder="1" applyAlignment="1">
      <alignment vertical="center" wrapText="1"/>
    </xf>
    <xf numFmtId="4" fontId="18" fillId="7" borderId="4" xfId="2" applyNumberFormat="1" applyFont="1" applyFill="1" applyBorder="1" applyAlignment="1">
      <alignment vertical="center" wrapText="1"/>
    </xf>
    <xf numFmtId="4" fontId="23" fillId="7" borderId="12" xfId="2" applyNumberFormat="1" applyFont="1" applyFill="1" applyBorder="1" applyAlignment="1">
      <alignment vertical="center" wrapText="1"/>
    </xf>
    <xf numFmtId="14" fontId="6" fillId="0" borderId="10" xfId="2" applyNumberFormat="1" applyFont="1" applyBorder="1" applyAlignment="1">
      <alignment horizontal="center" vertical="center" wrapText="1"/>
    </xf>
    <xf numFmtId="4" fontId="4" fillId="5" borderId="0" xfId="2" applyNumberFormat="1" applyFont="1" applyFill="1" applyAlignment="1">
      <alignment horizontal="center" vertical="center" wrapText="1"/>
    </xf>
    <xf numFmtId="4" fontId="4" fillId="4" borderId="0" xfId="2" applyNumberFormat="1" applyFont="1" applyFill="1" applyAlignment="1">
      <alignment horizontal="center" vertical="center" wrapText="1"/>
    </xf>
    <xf numFmtId="4" fontId="4" fillId="8" borderId="0" xfId="2" applyNumberFormat="1" applyFont="1" applyFill="1" applyAlignment="1">
      <alignment horizontal="center" vertical="center" wrapText="1"/>
    </xf>
    <xf numFmtId="0" fontId="6" fillId="0" borderId="10" xfId="2" applyFont="1" applyBorder="1" applyAlignment="1">
      <alignment horizontal="center" vertical="center"/>
    </xf>
    <xf numFmtId="0" fontId="6" fillId="0" borderId="12" xfId="2" applyFont="1" applyBorder="1" applyAlignment="1">
      <alignment horizontal="center" vertical="center"/>
    </xf>
    <xf numFmtId="0" fontId="6" fillId="7" borderId="25" xfId="1" applyFont="1" applyFill="1" applyBorder="1" applyAlignment="1">
      <alignment horizontal="center" vertical="center"/>
    </xf>
    <xf numFmtId="0" fontId="6" fillId="7" borderId="15" xfId="1" applyFont="1" applyFill="1" applyBorder="1" applyAlignment="1">
      <alignment horizontal="center" vertical="center"/>
    </xf>
    <xf numFmtId="0" fontId="6" fillId="7" borderId="6" xfId="1" applyFont="1" applyFill="1" applyBorder="1" applyAlignment="1">
      <alignment horizontal="center" vertical="center"/>
    </xf>
    <xf numFmtId="0" fontId="6" fillId="0" borderId="25" xfId="2" applyFont="1" applyBorder="1" applyAlignment="1">
      <alignment horizontal="center" vertical="center" wrapText="1"/>
    </xf>
    <xf numFmtId="0" fontId="6" fillId="0" borderId="15" xfId="2" applyFont="1" applyBorder="1" applyAlignment="1">
      <alignment horizontal="center" vertical="center" wrapText="1"/>
    </xf>
    <xf numFmtId="0" fontId="6" fillId="0" borderId="6" xfId="2" applyFont="1" applyBorder="1" applyAlignment="1">
      <alignment horizontal="center" vertical="center" wrapText="1"/>
    </xf>
    <xf numFmtId="0" fontId="6" fillId="0" borderId="10" xfId="2" applyFont="1" applyBorder="1" applyAlignment="1">
      <alignment horizontal="center" vertical="center" wrapText="1"/>
    </xf>
    <xf numFmtId="0" fontId="6" fillId="0" borderId="7" xfId="2" applyFont="1" applyBorder="1" applyAlignment="1">
      <alignment horizontal="center" vertical="center" wrapText="1"/>
    </xf>
    <xf numFmtId="0" fontId="6" fillId="0" borderId="23" xfId="2" applyFont="1" applyBorder="1" applyAlignment="1">
      <alignment horizontal="center" vertical="center" wrapText="1"/>
    </xf>
    <xf numFmtId="0" fontId="6" fillId="0" borderId="21" xfId="2" applyFont="1" applyBorder="1" applyAlignment="1">
      <alignment horizontal="center" vertical="center" wrapText="1"/>
    </xf>
    <xf numFmtId="0" fontId="6" fillId="0" borderId="9" xfId="2" applyFont="1" applyBorder="1" applyAlignment="1">
      <alignment horizontal="center" vertical="center" wrapText="1"/>
    </xf>
    <xf numFmtId="0" fontId="6" fillId="0" borderId="25" xfId="2" applyFont="1" applyBorder="1" applyAlignment="1">
      <alignment horizontal="center" vertical="center"/>
    </xf>
    <xf numFmtId="0" fontId="6" fillId="0" borderId="15" xfId="2" applyFont="1" applyBorder="1" applyAlignment="1">
      <alignment horizontal="center" vertical="center"/>
    </xf>
    <xf numFmtId="0" fontId="6" fillId="0" borderId="24" xfId="2" applyFont="1" applyBorder="1" applyAlignment="1">
      <alignment horizontal="center" vertical="center"/>
    </xf>
    <xf numFmtId="0" fontId="6" fillId="0" borderId="22" xfId="2" applyFont="1" applyBorder="1" applyAlignment="1">
      <alignment horizontal="center" vertical="center" wrapText="1"/>
    </xf>
    <xf numFmtId="14" fontId="6" fillId="0" borderId="10" xfId="2" applyNumberFormat="1" applyFont="1" applyBorder="1" applyAlignment="1">
      <alignment horizontal="center" vertical="center"/>
    </xf>
    <xf numFmtId="0" fontId="6" fillId="0" borderId="7" xfId="2" applyFont="1" applyBorder="1" applyAlignment="1">
      <alignment horizontal="center" vertical="center"/>
    </xf>
  </cellXfs>
  <cellStyles count="3">
    <cellStyle name="Normalny" xfId="0" builtinId="0"/>
    <cellStyle name="Normalny_A12.Zał. Nr 6-2005.BIP" xfId="1" xr:uid="{00000000-0005-0000-0000-000001000000}"/>
    <cellStyle name="Normalny_Zał Nr 7.1-05" xfId="2" xr:uid="{00000000-0005-0000-0000-000002000000}"/>
  </cellStyles>
  <dxfs count="0"/>
  <tableStyles count="0" defaultTableStyle="TableStyleMedium2" defaultPivotStyle="PivotStyleLight16"/>
  <colors>
    <mruColors>
      <color rgb="FF99FFCC"/>
      <color rgb="FF00FF99"/>
      <color rgb="FF66FFFF"/>
      <color rgb="FF00FFFF"/>
      <color rgb="FFCCFFFF"/>
      <color rgb="FF0099FF"/>
      <color rgb="FF66FFCC"/>
      <color rgb="FFCCFFCC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W285"/>
  <sheetViews>
    <sheetView showGridLines="0" tabSelected="1" topLeftCell="B1" zoomScale="90" zoomScaleNormal="90" zoomScaleSheetLayoutView="80" workbookViewId="0">
      <selection activeCell="Q147" sqref="Q147"/>
    </sheetView>
  </sheetViews>
  <sheetFormatPr defaultColWidth="9.140625" defaultRowHeight="12.75" x14ac:dyDescent="0.2"/>
  <cols>
    <col min="1" max="1" width="5.85546875" style="1" customWidth="1"/>
    <col min="2" max="2" width="6.42578125" style="1" customWidth="1"/>
    <col min="3" max="3" width="5.7109375" style="2" customWidth="1"/>
    <col min="4" max="4" width="64.5703125" style="1" customWidth="1"/>
    <col min="5" max="5" width="14.7109375" style="1" customWidth="1"/>
    <col min="6" max="6" width="11.42578125" style="1" hidden="1" customWidth="1"/>
    <col min="7" max="8" width="10.7109375" style="4" hidden="1" customWidth="1"/>
    <col min="9" max="9" width="14.7109375" style="286" customWidth="1"/>
    <col min="10" max="10" width="11.7109375" style="4" hidden="1" customWidth="1"/>
    <col min="11" max="11" width="13.42578125" style="286" bestFit="1" customWidth="1"/>
    <col min="12" max="12" width="13.42578125" style="286" customWidth="1"/>
    <col min="13" max="13" width="14.7109375" style="286" customWidth="1"/>
    <col min="14" max="15" width="11.7109375" style="4" hidden="1" customWidth="1"/>
    <col min="16" max="16" width="14.28515625" style="286" bestFit="1" customWidth="1"/>
    <col min="17" max="17" width="13.42578125" style="286" customWidth="1"/>
    <col min="18" max="18" width="14.7109375" style="286" customWidth="1"/>
    <col min="19" max="20" width="11.7109375" style="4" hidden="1" customWidth="1"/>
    <col min="21" max="21" width="13.28515625" style="286" bestFit="1" customWidth="1"/>
    <col min="22" max="22" width="12.7109375" style="286" customWidth="1"/>
    <col min="23" max="23" width="15.28515625" style="150" customWidth="1"/>
    <col min="24" max="16384" width="9.140625" style="4"/>
  </cols>
  <sheetData>
    <row r="1" spans="1:23" ht="16.5" customHeight="1" x14ac:dyDescent="0.2">
      <c r="A1" s="65" t="s">
        <v>49</v>
      </c>
      <c r="B1" s="5"/>
      <c r="C1" s="5"/>
      <c r="D1" s="3"/>
      <c r="E1" s="5"/>
      <c r="F1" s="5"/>
    </row>
    <row r="2" spans="1:23" ht="10.5" customHeight="1" x14ac:dyDescent="0.2">
      <c r="I2" s="287"/>
      <c r="J2" s="6"/>
      <c r="K2" s="287"/>
      <c r="L2" s="287"/>
      <c r="M2" s="287"/>
      <c r="N2" s="6"/>
      <c r="O2" s="6"/>
      <c r="P2" s="287"/>
      <c r="Q2" s="287"/>
      <c r="S2" s="6" t="s">
        <v>14</v>
      </c>
      <c r="T2" s="6" t="s">
        <v>14</v>
      </c>
      <c r="V2" s="287" t="s">
        <v>14</v>
      </c>
    </row>
    <row r="3" spans="1:23" ht="13.5" customHeight="1" x14ac:dyDescent="0.2">
      <c r="A3" s="258"/>
      <c r="B3" s="258"/>
      <c r="C3" s="259"/>
      <c r="D3" s="260"/>
      <c r="E3" s="261"/>
      <c r="F3" s="262" t="s">
        <v>15</v>
      </c>
      <c r="G3" s="336" t="s">
        <v>46</v>
      </c>
      <c r="H3" s="336" t="s">
        <v>45</v>
      </c>
      <c r="I3" s="348" t="s">
        <v>19</v>
      </c>
      <c r="J3" s="342"/>
      <c r="K3" s="343"/>
      <c r="L3" s="346" t="s">
        <v>82</v>
      </c>
      <c r="M3" s="349" t="s">
        <v>79</v>
      </c>
      <c r="N3" s="350"/>
      <c r="O3" s="350"/>
      <c r="P3" s="350"/>
      <c r="Q3" s="351"/>
      <c r="R3" s="338" t="s">
        <v>78</v>
      </c>
      <c r="S3" s="339"/>
      <c r="T3" s="339"/>
      <c r="U3" s="339"/>
      <c r="V3" s="340"/>
    </row>
    <row r="4" spans="1:23" ht="14.25" customHeight="1" x14ac:dyDescent="0.2">
      <c r="A4" s="263" t="s">
        <v>16</v>
      </c>
      <c r="B4" s="263" t="s">
        <v>17</v>
      </c>
      <c r="C4" s="264" t="s">
        <v>18</v>
      </c>
      <c r="D4" s="265"/>
      <c r="E4" s="266" t="s">
        <v>19</v>
      </c>
      <c r="F4" s="266" t="s">
        <v>20</v>
      </c>
      <c r="G4" s="337"/>
      <c r="H4" s="337"/>
      <c r="I4" s="332">
        <v>44927</v>
      </c>
      <c r="J4" s="236"/>
      <c r="K4" s="353">
        <v>45291</v>
      </c>
      <c r="L4" s="352"/>
      <c r="M4" s="341" t="s">
        <v>19</v>
      </c>
      <c r="N4" s="342"/>
      <c r="O4" s="342"/>
      <c r="P4" s="342"/>
      <c r="Q4" s="346" t="s">
        <v>82</v>
      </c>
      <c r="R4" s="341" t="s">
        <v>19</v>
      </c>
      <c r="S4" s="342"/>
      <c r="T4" s="342"/>
      <c r="U4" s="343"/>
      <c r="V4" s="344" t="s">
        <v>82</v>
      </c>
    </row>
    <row r="5" spans="1:23" ht="14.25" customHeight="1" x14ac:dyDescent="0.2">
      <c r="A5" s="267"/>
      <c r="B5" s="267"/>
      <c r="C5" s="268"/>
      <c r="D5" s="269"/>
      <c r="E5" s="270"/>
      <c r="F5" s="270"/>
      <c r="G5" s="271"/>
      <c r="H5" s="267"/>
      <c r="I5" s="345"/>
      <c r="J5" s="272"/>
      <c r="K5" s="354"/>
      <c r="L5" s="347"/>
      <c r="M5" s="273">
        <v>44927</v>
      </c>
      <c r="N5" s="274"/>
      <c r="O5" s="274"/>
      <c r="P5" s="275">
        <v>45291</v>
      </c>
      <c r="Q5" s="347"/>
      <c r="R5" s="276">
        <v>44927</v>
      </c>
      <c r="S5" s="277"/>
      <c r="T5" s="278"/>
      <c r="U5" s="300">
        <v>45291</v>
      </c>
      <c r="V5" s="345"/>
    </row>
    <row r="6" spans="1:23" ht="10.5" customHeight="1" x14ac:dyDescent="0.2">
      <c r="A6" s="34">
        <v>1</v>
      </c>
      <c r="B6" s="34">
        <v>2</v>
      </c>
      <c r="C6" s="35">
        <v>3</v>
      </c>
      <c r="D6" s="36">
        <v>4</v>
      </c>
      <c r="E6" s="36">
        <v>5</v>
      </c>
      <c r="F6" s="36">
        <v>6</v>
      </c>
      <c r="G6" s="37">
        <v>7</v>
      </c>
      <c r="H6" s="34">
        <v>7</v>
      </c>
      <c r="I6" s="34">
        <v>6</v>
      </c>
      <c r="J6" s="108">
        <v>7</v>
      </c>
      <c r="K6" s="36">
        <v>7</v>
      </c>
      <c r="L6" s="213">
        <v>8</v>
      </c>
      <c r="M6" s="36">
        <v>9</v>
      </c>
      <c r="N6" s="107">
        <v>8</v>
      </c>
      <c r="O6" s="107">
        <v>9</v>
      </c>
      <c r="P6" s="34">
        <v>10</v>
      </c>
      <c r="Q6" s="37">
        <v>11</v>
      </c>
      <c r="R6" s="220">
        <v>12</v>
      </c>
      <c r="S6" s="109">
        <v>12</v>
      </c>
      <c r="T6" s="109">
        <v>13</v>
      </c>
      <c r="U6" s="34">
        <v>13</v>
      </c>
      <c r="V6" s="34">
        <v>14</v>
      </c>
    </row>
    <row r="7" spans="1:23" s="7" customFormat="1" ht="15" customHeight="1" x14ac:dyDescent="0.2">
      <c r="A7" s="38">
        <v>921</v>
      </c>
      <c r="B7" s="66"/>
      <c r="C7" s="39"/>
      <c r="D7" s="40" t="s">
        <v>3</v>
      </c>
      <c r="E7" s="41" t="s">
        <v>21</v>
      </c>
      <c r="F7" s="42">
        <f>SUM(F9:F10)</f>
        <v>0</v>
      </c>
      <c r="G7" s="42">
        <f>SUM(G9:G10)</f>
        <v>0</v>
      </c>
      <c r="H7" s="42">
        <f>SUM(H9:H10)</f>
        <v>0</v>
      </c>
      <c r="I7" s="158">
        <f>SUM(I9:I10)</f>
        <v>252274252</v>
      </c>
      <c r="J7" s="159">
        <v>0</v>
      </c>
      <c r="K7" s="161">
        <f>SUM(K9:K10)</f>
        <v>304813663</v>
      </c>
      <c r="L7" s="257">
        <f>SUM(L9:L10)</f>
        <v>304600819.82999998</v>
      </c>
      <c r="M7" s="212">
        <f t="shared" ref="M7:U7" si="0">SUM(M9:M10)</f>
        <v>207539477</v>
      </c>
      <c r="N7" s="160">
        <f t="shared" si="0"/>
        <v>414324</v>
      </c>
      <c r="O7" s="160">
        <f t="shared" si="0"/>
        <v>52718413</v>
      </c>
      <c r="P7" s="158">
        <f>SUM(P9:P10)</f>
        <v>259843566</v>
      </c>
      <c r="Q7" s="158">
        <f>SUM(Q9:Q10)</f>
        <v>259836309.53999999</v>
      </c>
      <c r="R7" s="221">
        <f>SUM(R9:R10)</f>
        <v>44734775</v>
      </c>
      <c r="S7" s="160">
        <f t="shared" si="0"/>
        <v>3460960</v>
      </c>
      <c r="T7" s="207">
        <f t="shared" si="0"/>
        <v>3696282</v>
      </c>
      <c r="U7" s="158">
        <f t="shared" si="0"/>
        <v>44970097</v>
      </c>
      <c r="V7" s="158">
        <f t="shared" ref="V7" si="1">SUM(V9:V10)</f>
        <v>44764510.289999999</v>
      </c>
      <c r="W7" s="281"/>
    </row>
    <row r="8" spans="1:23" s="10" customFormat="1" ht="15" customHeight="1" x14ac:dyDescent="0.2">
      <c r="A8" s="67"/>
      <c r="B8" s="68"/>
      <c r="C8" s="69"/>
      <c r="D8" s="47"/>
      <c r="E8" s="70" t="s">
        <v>22</v>
      </c>
      <c r="F8" s="47"/>
      <c r="G8" s="71"/>
      <c r="H8" s="71"/>
      <c r="I8" s="162"/>
      <c r="J8" s="163"/>
      <c r="K8" s="166"/>
      <c r="L8" s="214"/>
      <c r="M8" s="181"/>
      <c r="N8" s="164"/>
      <c r="O8" s="164"/>
      <c r="P8" s="158"/>
      <c r="Q8" s="158"/>
      <c r="R8" s="172"/>
      <c r="S8" s="165"/>
      <c r="T8" s="208"/>
      <c r="U8" s="162"/>
      <c r="V8" s="162"/>
      <c r="W8" s="281"/>
    </row>
    <row r="9" spans="1:23" s="10" customFormat="1" ht="15" customHeight="1" x14ac:dyDescent="0.2">
      <c r="A9" s="67"/>
      <c r="B9" s="72"/>
      <c r="C9" s="44"/>
      <c r="D9" s="45"/>
      <c r="E9" s="46" t="s">
        <v>1</v>
      </c>
      <c r="F9" s="46"/>
      <c r="G9" s="46">
        <f>SUM(G18,G57,G67,G99,G111,G119,G126,G154)</f>
        <v>0</v>
      </c>
      <c r="H9" s="46">
        <f>SUM(H18,H57,H67,H99,H111,H119,H126,H154)</f>
        <v>0</v>
      </c>
      <c r="I9" s="162">
        <f>SUM(I13,I18,I57,I67,I99,I111,I119,I126,I162,I106)</f>
        <v>220153322</v>
      </c>
      <c r="J9" s="163">
        <v>0</v>
      </c>
      <c r="K9" s="166">
        <f t="shared" ref="K9:V9" si="2">SUM(K13,K18,K57,K67,K99,K111,K119,K126,K162,K106)</f>
        <v>264887651</v>
      </c>
      <c r="L9" s="214">
        <f t="shared" si="2"/>
        <v>264677595.40000001</v>
      </c>
      <c r="M9" s="181">
        <f t="shared" si="2"/>
        <v>181668547</v>
      </c>
      <c r="N9" s="167">
        <f t="shared" si="2"/>
        <v>414324</v>
      </c>
      <c r="O9" s="167">
        <f t="shared" si="2"/>
        <v>45135613</v>
      </c>
      <c r="P9" s="162">
        <f t="shared" si="2"/>
        <v>226389836</v>
      </c>
      <c r="Q9" s="162">
        <f t="shared" si="2"/>
        <v>226382579.53999999</v>
      </c>
      <c r="R9" s="172">
        <f t="shared" si="2"/>
        <v>38484775</v>
      </c>
      <c r="S9" s="167">
        <f t="shared" si="2"/>
        <v>3460960</v>
      </c>
      <c r="T9" s="203">
        <f t="shared" si="2"/>
        <v>3474000</v>
      </c>
      <c r="U9" s="162">
        <f t="shared" si="2"/>
        <v>38497815</v>
      </c>
      <c r="V9" s="162">
        <f t="shared" si="2"/>
        <v>38295015.859999999</v>
      </c>
      <c r="W9" s="281"/>
    </row>
    <row r="10" spans="1:23" s="10" customFormat="1" ht="15" customHeight="1" x14ac:dyDescent="0.2">
      <c r="A10" s="67"/>
      <c r="B10" s="74"/>
      <c r="C10" s="39"/>
      <c r="D10" s="40"/>
      <c r="E10" s="46" t="s">
        <v>0</v>
      </c>
      <c r="F10" s="46">
        <f>SUM(F43,F60,F149)</f>
        <v>0</v>
      </c>
      <c r="G10" s="46">
        <f>SUM(G43,G60,G149)</f>
        <v>0</v>
      </c>
      <c r="H10" s="46">
        <f>SUM(H43,H60,H149)</f>
        <v>0</v>
      </c>
      <c r="I10" s="162">
        <f>SUM(I43,I60,I149)</f>
        <v>32120930</v>
      </c>
      <c r="J10" s="163">
        <v>0</v>
      </c>
      <c r="K10" s="166">
        <f t="shared" ref="K10:V10" si="3">SUM(K43,K60,K149)</f>
        <v>39926012</v>
      </c>
      <c r="L10" s="214">
        <f t="shared" si="3"/>
        <v>39923224.43</v>
      </c>
      <c r="M10" s="181">
        <f t="shared" si="3"/>
        <v>25870930</v>
      </c>
      <c r="N10" s="167">
        <f t="shared" si="3"/>
        <v>0</v>
      </c>
      <c r="O10" s="167">
        <f t="shared" si="3"/>
        <v>7582800</v>
      </c>
      <c r="P10" s="162">
        <f t="shared" si="3"/>
        <v>33453730</v>
      </c>
      <c r="Q10" s="162">
        <f t="shared" si="3"/>
        <v>33453730</v>
      </c>
      <c r="R10" s="172">
        <f t="shared" si="3"/>
        <v>6250000</v>
      </c>
      <c r="S10" s="167">
        <f t="shared" si="3"/>
        <v>0</v>
      </c>
      <c r="T10" s="203">
        <f t="shared" si="3"/>
        <v>222282</v>
      </c>
      <c r="U10" s="162">
        <f t="shared" si="3"/>
        <v>6472282</v>
      </c>
      <c r="V10" s="162">
        <f t="shared" si="3"/>
        <v>6469494.4299999997</v>
      </c>
      <c r="W10" s="281"/>
    </row>
    <row r="11" spans="1:23" s="10" customFormat="1" ht="15" customHeight="1" x14ac:dyDescent="0.2">
      <c r="A11" s="67"/>
      <c r="B11" s="129" t="s">
        <v>66</v>
      </c>
      <c r="C11" s="130"/>
      <c r="D11" s="52" t="s">
        <v>26</v>
      </c>
      <c r="E11" s="132" t="s">
        <v>21</v>
      </c>
      <c r="F11" s="54"/>
      <c r="G11" s="54"/>
      <c r="H11" s="54"/>
      <c r="I11" s="241">
        <f>SUM(I13)</f>
        <v>0</v>
      </c>
      <c r="J11" s="169"/>
      <c r="K11" s="171">
        <f>SUM(K13)</f>
        <v>100000</v>
      </c>
      <c r="L11" s="215">
        <f>SUM(L13)</f>
        <v>100000</v>
      </c>
      <c r="M11" s="242">
        <f t="shared" ref="M11:U11" si="4">SUM(M13)</f>
        <v>0</v>
      </c>
      <c r="N11" s="170">
        <f t="shared" si="4"/>
        <v>0</v>
      </c>
      <c r="O11" s="170">
        <f t="shared" si="4"/>
        <v>100000</v>
      </c>
      <c r="P11" s="168">
        <f t="shared" si="4"/>
        <v>100000</v>
      </c>
      <c r="Q11" s="168">
        <f t="shared" ref="Q11" si="5">SUM(Q13)</f>
        <v>100000</v>
      </c>
      <c r="R11" s="244">
        <f t="shared" si="4"/>
        <v>0</v>
      </c>
      <c r="S11" s="243">
        <f t="shared" si="4"/>
        <v>0</v>
      </c>
      <c r="T11" s="245">
        <f t="shared" si="4"/>
        <v>0</v>
      </c>
      <c r="U11" s="241">
        <f t="shared" si="4"/>
        <v>0</v>
      </c>
      <c r="V11" s="168"/>
      <c r="W11" s="281"/>
    </row>
    <row r="12" spans="1:23" s="10" customFormat="1" ht="13.5" customHeight="1" x14ac:dyDescent="0.2">
      <c r="A12" s="67"/>
      <c r="B12" s="128"/>
      <c r="C12" s="39"/>
      <c r="D12" s="45"/>
      <c r="E12" s="70" t="s">
        <v>22</v>
      </c>
      <c r="F12" s="46"/>
      <c r="G12" s="46"/>
      <c r="H12" s="46"/>
      <c r="I12" s="202"/>
      <c r="J12" s="163"/>
      <c r="K12" s="166"/>
      <c r="L12" s="214"/>
      <c r="M12" s="73"/>
      <c r="N12" s="167"/>
      <c r="O12" s="167"/>
      <c r="P12" s="162"/>
      <c r="Q12" s="162"/>
      <c r="R12" s="238"/>
      <c r="S12" s="239"/>
      <c r="T12" s="240"/>
      <c r="U12" s="202"/>
      <c r="V12" s="162"/>
      <c r="W12" s="281"/>
    </row>
    <row r="13" spans="1:23" s="10" customFormat="1" ht="15" customHeight="1" x14ac:dyDescent="0.2">
      <c r="A13" s="67"/>
      <c r="B13" s="74"/>
      <c r="C13" s="39"/>
      <c r="D13" s="40"/>
      <c r="E13" s="46" t="s">
        <v>1</v>
      </c>
      <c r="F13" s="46"/>
      <c r="G13" s="46"/>
      <c r="H13" s="46"/>
      <c r="I13" s="202">
        <f>SUM(I14)</f>
        <v>0</v>
      </c>
      <c r="J13" s="163"/>
      <c r="K13" s="181">
        <f>SUM(P13,U13)</f>
        <v>100000</v>
      </c>
      <c r="L13" s="185">
        <f>SUM(Q13,V13)</f>
        <v>100000</v>
      </c>
      <c r="M13" s="73">
        <f t="shared" ref="M13:Q13" si="6">SUM(M14)</f>
        <v>0</v>
      </c>
      <c r="N13" s="167">
        <f t="shared" si="6"/>
        <v>0</v>
      </c>
      <c r="O13" s="167">
        <f t="shared" si="6"/>
        <v>100000</v>
      </c>
      <c r="P13" s="162">
        <f t="shared" si="6"/>
        <v>100000</v>
      </c>
      <c r="Q13" s="162">
        <f t="shared" si="6"/>
        <v>100000</v>
      </c>
      <c r="R13" s="238">
        <f>SUM(R14:R15)</f>
        <v>0</v>
      </c>
      <c r="S13" s="246">
        <f t="shared" ref="S13:U13" si="7">SUM(S14:S15)</f>
        <v>0</v>
      </c>
      <c r="T13" s="247">
        <f t="shared" si="7"/>
        <v>0</v>
      </c>
      <c r="U13" s="202">
        <f t="shared" si="7"/>
        <v>0</v>
      </c>
      <c r="V13" s="162"/>
      <c r="W13" s="281"/>
    </row>
    <row r="14" spans="1:23" s="10" customFormat="1" ht="15" customHeight="1" x14ac:dyDescent="0.2">
      <c r="A14" s="67"/>
      <c r="B14" s="74"/>
      <c r="C14" s="44">
        <v>2480</v>
      </c>
      <c r="D14" s="47" t="s">
        <v>13</v>
      </c>
      <c r="E14" s="46"/>
      <c r="F14" s="46"/>
      <c r="G14" s="46"/>
      <c r="H14" s="46"/>
      <c r="I14" s="162"/>
      <c r="J14" s="163"/>
      <c r="K14" s="166">
        <f>SUM(P14,U14)</f>
        <v>100000</v>
      </c>
      <c r="L14" s="214">
        <f>SUM(Q14,V14)</f>
        <v>100000</v>
      </c>
      <c r="M14" s="181"/>
      <c r="N14" s="167"/>
      <c r="O14" s="167">
        <v>100000</v>
      </c>
      <c r="P14" s="162">
        <f>SUM(M14-N14+O14)</f>
        <v>100000</v>
      </c>
      <c r="Q14" s="205">
        <v>100000</v>
      </c>
      <c r="R14" s="238"/>
      <c r="S14" s="239"/>
      <c r="T14" s="240"/>
      <c r="U14" s="202">
        <f t="shared" ref="U14:U15" si="8">SUM(R14-S14+T14)</f>
        <v>0</v>
      </c>
      <c r="V14" s="162"/>
      <c r="W14" s="281"/>
    </row>
    <row r="15" spans="1:23" s="10" customFormat="1" ht="15" hidden="1" customHeight="1" x14ac:dyDescent="0.2">
      <c r="A15" s="67"/>
      <c r="B15" s="131"/>
      <c r="C15" s="85">
        <v>2800</v>
      </c>
      <c r="D15" s="90" t="s">
        <v>13</v>
      </c>
      <c r="E15" s="88"/>
      <c r="F15" s="88"/>
      <c r="G15" s="88"/>
      <c r="H15" s="88"/>
      <c r="I15" s="173"/>
      <c r="J15" s="174"/>
      <c r="K15" s="176">
        <f>SUM(P15,U15)</f>
        <v>0</v>
      </c>
      <c r="L15" s="216"/>
      <c r="M15" s="187"/>
      <c r="N15" s="175"/>
      <c r="O15" s="175"/>
      <c r="P15" s="173"/>
      <c r="Q15" s="206"/>
      <c r="R15" s="222"/>
      <c r="S15" s="175"/>
      <c r="T15" s="209"/>
      <c r="U15" s="173">
        <f t="shared" si="8"/>
        <v>0</v>
      </c>
      <c r="V15" s="162"/>
      <c r="W15" s="281"/>
    </row>
    <row r="16" spans="1:23" s="10" customFormat="1" ht="13.5" customHeight="1" x14ac:dyDescent="0.2">
      <c r="A16" s="67"/>
      <c r="B16" s="75">
        <v>92106</v>
      </c>
      <c r="C16" s="76"/>
      <c r="D16" s="52" t="s">
        <v>2</v>
      </c>
      <c r="E16" s="53" t="s">
        <v>21</v>
      </c>
      <c r="F16" s="136">
        <f>SUM(F18+F43)</f>
        <v>0</v>
      </c>
      <c r="G16" s="136">
        <f>SUM(G18+G43)</f>
        <v>0</v>
      </c>
      <c r="H16" s="136">
        <f>SUM(H18+H43)</f>
        <v>0</v>
      </c>
      <c r="I16" s="177">
        <f>SUM(I18,I43)</f>
        <v>56861510</v>
      </c>
      <c r="J16" s="178">
        <v>0</v>
      </c>
      <c r="K16" s="171">
        <f>SUM(K18,K43)</f>
        <v>67783498</v>
      </c>
      <c r="L16" s="215">
        <f>SUM(L18,L43)</f>
        <v>67776252.090000004</v>
      </c>
      <c r="M16" s="171">
        <f>SUM(M18,M43)</f>
        <v>41931510</v>
      </c>
      <c r="N16" s="179">
        <f t="shared" ref="N16:U16" si="9">SUM(N18,N43)</f>
        <v>0</v>
      </c>
      <c r="O16" s="179">
        <f t="shared" si="9"/>
        <v>10721988</v>
      </c>
      <c r="P16" s="180">
        <f t="shared" si="9"/>
        <v>52653498</v>
      </c>
      <c r="Q16" s="180">
        <f t="shared" ref="Q16" si="10">SUM(Q18,Q43)</f>
        <v>52649626.689999998</v>
      </c>
      <c r="R16" s="223">
        <f t="shared" si="9"/>
        <v>14930000</v>
      </c>
      <c r="S16" s="179">
        <f t="shared" si="9"/>
        <v>160000</v>
      </c>
      <c r="T16" s="210">
        <f t="shared" si="9"/>
        <v>360000</v>
      </c>
      <c r="U16" s="168">
        <f t="shared" si="9"/>
        <v>15130000</v>
      </c>
      <c r="V16" s="168">
        <f t="shared" ref="V16" si="11">SUM(V18,V43)</f>
        <v>15126625.4</v>
      </c>
      <c r="W16" s="281"/>
    </row>
    <row r="17" spans="1:23" s="10" customFormat="1" ht="15.75" customHeight="1" x14ac:dyDescent="0.2">
      <c r="A17" s="67"/>
      <c r="B17" s="77"/>
      <c r="C17" s="78"/>
      <c r="D17" s="47"/>
      <c r="E17" s="70" t="s">
        <v>22</v>
      </c>
      <c r="F17" s="46"/>
      <c r="G17" s="46"/>
      <c r="H17" s="46"/>
      <c r="I17" s="162"/>
      <c r="J17" s="163"/>
      <c r="K17" s="166"/>
      <c r="L17" s="214"/>
      <c r="M17" s="181"/>
      <c r="N17" s="167"/>
      <c r="O17" s="167"/>
      <c r="P17" s="162"/>
      <c r="Q17" s="162"/>
      <c r="R17" s="172"/>
      <c r="S17" s="157"/>
      <c r="T17" s="157"/>
      <c r="U17" s="162"/>
      <c r="V17" s="162"/>
      <c r="W17" s="281"/>
    </row>
    <row r="18" spans="1:23" s="10" customFormat="1" ht="15" customHeight="1" x14ac:dyDescent="0.2">
      <c r="A18" s="67"/>
      <c r="B18" s="77"/>
      <c r="C18" s="78"/>
      <c r="D18" s="45"/>
      <c r="E18" s="46" t="s">
        <v>1</v>
      </c>
      <c r="F18" s="46"/>
      <c r="G18" s="46"/>
      <c r="H18" s="46"/>
      <c r="I18" s="162">
        <f>SUM(I19:I41)</f>
        <v>37829130</v>
      </c>
      <c r="J18" s="163">
        <v>0</v>
      </c>
      <c r="K18" s="166">
        <f>SUM(K19:K41)</f>
        <v>44622318</v>
      </c>
      <c r="L18" s="214">
        <f>SUM(L19:L41)</f>
        <v>44617859.659999996</v>
      </c>
      <c r="M18" s="181">
        <f t="shared" ref="M18:U18" si="12">SUM(M19:M41)</f>
        <v>27299130</v>
      </c>
      <c r="N18" s="167">
        <f t="shared" si="12"/>
        <v>0</v>
      </c>
      <c r="O18" s="167">
        <f t="shared" si="12"/>
        <v>6593188</v>
      </c>
      <c r="P18" s="162">
        <f t="shared" si="12"/>
        <v>33892318</v>
      </c>
      <c r="Q18" s="162">
        <f t="shared" ref="Q18" si="13">SUM(Q19:Q41)</f>
        <v>33888446.689999998</v>
      </c>
      <c r="R18" s="172">
        <f t="shared" si="12"/>
        <v>10530000</v>
      </c>
      <c r="S18" s="167">
        <f t="shared" si="12"/>
        <v>160000</v>
      </c>
      <c r="T18" s="203">
        <f t="shared" si="12"/>
        <v>360000</v>
      </c>
      <c r="U18" s="162">
        <f t="shared" si="12"/>
        <v>10730000</v>
      </c>
      <c r="V18" s="162">
        <f>SUM(V19:V41)</f>
        <v>10729412.970000001</v>
      </c>
      <c r="W18" s="281"/>
    </row>
    <row r="19" spans="1:23" s="10" customFormat="1" ht="14.25" customHeight="1" x14ac:dyDescent="0.2">
      <c r="A19" s="67"/>
      <c r="B19" s="77"/>
      <c r="C19" s="78">
        <v>2480</v>
      </c>
      <c r="D19" s="45" t="s">
        <v>32</v>
      </c>
      <c r="E19" s="46"/>
      <c r="F19" s="46"/>
      <c r="G19" s="71"/>
      <c r="H19" s="47"/>
      <c r="I19" s="162">
        <f>SUM(M19,R19)</f>
        <v>1858400</v>
      </c>
      <c r="J19" s="163"/>
      <c r="K19" s="181">
        <f t="shared" ref="K19:K41" si="14">SUM(P19,U19)</f>
        <v>2217500</v>
      </c>
      <c r="L19" s="185">
        <f t="shared" ref="L19:L33" si="15">SUM(Q19,V19)</f>
        <v>2217500</v>
      </c>
      <c r="M19" s="181">
        <v>1858400</v>
      </c>
      <c r="N19" s="164"/>
      <c r="O19" s="167">
        <f>2400+25000+100000+85000+4000+42700+100000</f>
        <v>359100</v>
      </c>
      <c r="P19" s="162">
        <f t="shared" ref="P19:P41" si="16">SUM(M19-N19+O19)</f>
        <v>2217500</v>
      </c>
      <c r="Q19" s="205">
        <v>2217500</v>
      </c>
      <c r="R19" s="172"/>
      <c r="S19" s="157"/>
      <c r="T19" s="157"/>
      <c r="U19" s="162"/>
      <c r="V19" s="162"/>
      <c r="W19" s="281"/>
    </row>
    <row r="20" spans="1:23" s="10" customFormat="1" ht="15.75" customHeight="1" x14ac:dyDescent="0.2">
      <c r="A20" s="67"/>
      <c r="B20" s="77"/>
      <c r="C20" s="78">
        <v>6220</v>
      </c>
      <c r="D20" s="45" t="s">
        <v>32</v>
      </c>
      <c r="E20" s="46"/>
      <c r="F20" s="46"/>
      <c r="G20" s="71"/>
      <c r="H20" s="47"/>
      <c r="I20" s="162"/>
      <c r="J20" s="163"/>
      <c r="K20" s="181">
        <f t="shared" si="14"/>
        <v>200000</v>
      </c>
      <c r="L20" s="312">
        <f t="shared" si="15"/>
        <v>200000</v>
      </c>
      <c r="M20" s="302"/>
      <c r="N20" s="313"/>
      <c r="O20" s="188"/>
      <c r="P20" s="188"/>
      <c r="Q20" s="309"/>
      <c r="R20" s="225"/>
      <c r="S20" s="314"/>
      <c r="T20" s="315">
        <v>200000</v>
      </c>
      <c r="U20" s="188">
        <f t="shared" ref="U20:U41" si="17">SUM(R20-S20+T20)</f>
        <v>200000</v>
      </c>
      <c r="V20" s="188">
        <v>200000</v>
      </c>
      <c r="W20" s="281"/>
    </row>
    <row r="21" spans="1:23" s="10" customFormat="1" ht="15" customHeight="1" x14ac:dyDescent="0.2">
      <c r="A21" s="67"/>
      <c r="B21" s="77"/>
      <c r="C21" s="78">
        <v>2480</v>
      </c>
      <c r="D21" s="45" t="s">
        <v>31</v>
      </c>
      <c r="E21" s="46"/>
      <c r="F21" s="46"/>
      <c r="G21" s="71"/>
      <c r="H21" s="47"/>
      <c r="I21" s="162">
        <f t="shared" ref="I21:I41" si="18">SUM(M21,R21)</f>
        <v>3156750</v>
      </c>
      <c r="J21" s="163"/>
      <c r="K21" s="181">
        <f t="shared" si="14"/>
        <v>5668035</v>
      </c>
      <c r="L21" s="312">
        <f t="shared" si="15"/>
        <v>5668035</v>
      </c>
      <c r="M21" s="302">
        <v>3156750</v>
      </c>
      <c r="N21" s="313"/>
      <c r="O21" s="188">
        <f>51020+501290+79500+47300+130000+114600+846175+84400+307000+350000</f>
        <v>2511285</v>
      </c>
      <c r="P21" s="188">
        <f t="shared" si="16"/>
        <v>5668035</v>
      </c>
      <c r="Q21" s="309">
        <v>5668035</v>
      </c>
      <c r="R21" s="225"/>
      <c r="S21" s="314"/>
      <c r="T21" s="314"/>
      <c r="U21" s="188"/>
      <c r="V21" s="188"/>
      <c r="W21" s="281"/>
    </row>
    <row r="22" spans="1:23" s="10" customFormat="1" ht="15" customHeight="1" x14ac:dyDescent="0.2">
      <c r="A22" s="67"/>
      <c r="B22" s="77"/>
      <c r="C22" s="78">
        <v>2800</v>
      </c>
      <c r="D22" s="45" t="s">
        <v>31</v>
      </c>
      <c r="E22" s="46"/>
      <c r="F22" s="46"/>
      <c r="G22" s="71"/>
      <c r="H22" s="47"/>
      <c r="I22" s="162">
        <f t="shared" si="18"/>
        <v>650000</v>
      </c>
      <c r="J22" s="163"/>
      <c r="K22" s="181">
        <f t="shared" si="14"/>
        <v>650000</v>
      </c>
      <c r="L22" s="312">
        <f t="shared" si="15"/>
        <v>650000</v>
      </c>
      <c r="M22" s="302"/>
      <c r="N22" s="313"/>
      <c r="O22" s="188"/>
      <c r="P22" s="188"/>
      <c r="Q22" s="309"/>
      <c r="R22" s="225">
        <v>650000</v>
      </c>
      <c r="S22" s="314"/>
      <c r="T22" s="314"/>
      <c r="U22" s="188">
        <f t="shared" si="17"/>
        <v>650000</v>
      </c>
      <c r="V22" s="188">
        <v>650000</v>
      </c>
      <c r="W22" s="281"/>
    </row>
    <row r="23" spans="1:23" s="10" customFormat="1" ht="15.75" hidden="1" customHeight="1" x14ac:dyDescent="0.2">
      <c r="A23" s="67"/>
      <c r="B23" s="77"/>
      <c r="C23" s="78">
        <v>6229</v>
      </c>
      <c r="D23" s="45" t="s">
        <v>31</v>
      </c>
      <c r="E23" s="46"/>
      <c r="F23" s="46"/>
      <c r="G23" s="71"/>
      <c r="H23" s="47"/>
      <c r="I23" s="162">
        <f t="shared" si="18"/>
        <v>0</v>
      </c>
      <c r="J23" s="163"/>
      <c r="K23" s="181">
        <f t="shared" si="14"/>
        <v>0</v>
      </c>
      <c r="L23" s="312">
        <f t="shared" si="15"/>
        <v>0</v>
      </c>
      <c r="M23" s="302"/>
      <c r="N23" s="313"/>
      <c r="O23" s="188"/>
      <c r="P23" s="188">
        <f t="shared" si="16"/>
        <v>0</v>
      </c>
      <c r="Q23" s="309"/>
      <c r="R23" s="225"/>
      <c r="S23" s="315"/>
      <c r="T23" s="315"/>
      <c r="U23" s="188">
        <f t="shared" si="17"/>
        <v>0</v>
      </c>
      <c r="V23" s="188"/>
      <c r="W23" s="281"/>
    </row>
    <row r="24" spans="1:23" s="10" customFormat="1" ht="15.75" customHeight="1" x14ac:dyDescent="0.2">
      <c r="A24" s="67"/>
      <c r="B24" s="77"/>
      <c r="C24" s="78">
        <v>2480</v>
      </c>
      <c r="D24" s="45" t="s">
        <v>75</v>
      </c>
      <c r="E24" s="46"/>
      <c r="F24" s="46"/>
      <c r="G24" s="71"/>
      <c r="H24" s="47"/>
      <c r="I24" s="162">
        <f t="shared" si="18"/>
        <v>3100000</v>
      </c>
      <c r="J24" s="163"/>
      <c r="K24" s="181">
        <f t="shared" si="14"/>
        <v>3311800</v>
      </c>
      <c r="L24" s="312">
        <f t="shared" si="15"/>
        <v>3311800</v>
      </c>
      <c r="M24" s="302">
        <v>3100000</v>
      </c>
      <c r="N24" s="313"/>
      <c r="O24" s="188">
        <f>68900+36900+50000+56000</f>
        <v>211800</v>
      </c>
      <c r="P24" s="188">
        <f t="shared" si="16"/>
        <v>3311800</v>
      </c>
      <c r="Q24" s="309">
        <v>3311800</v>
      </c>
      <c r="R24" s="225"/>
      <c r="S24" s="315"/>
      <c r="T24" s="314"/>
      <c r="U24" s="188"/>
      <c r="V24" s="188"/>
      <c r="W24" s="281"/>
    </row>
    <row r="25" spans="1:23" s="10" customFormat="1" ht="15.75" hidden="1" customHeight="1" x14ac:dyDescent="0.2">
      <c r="A25" s="67"/>
      <c r="B25" s="77"/>
      <c r="C25" s="78">
        <v>6220</v>
      </c>
      <c r="D25" s="45" t="s">
        <v>75</v>
      </c>
      <c r="E25" s="46"/>
      <c r="F25" s="46"/>
      <c r="G25" s="71"/>
      <c r="H25" s="47"/>
      <c r="I25" s="162">
        <f t="shared" si="18"/>
        <v>0</v>
      </c>
      <c r="J25" s="163"/>
      <c r="K25" s="181">
        <f t="shared" si="14"/>
        <v>0</v>
      </c>
      <c r="L25" s="312">
        <f t="shared" si="15"/>
        <v>0</v>
      </c>
      <c r="M25" s="302"/>
      <c r="N25" s="313"/>
      <c r="O25" s="188"/>
      <c r="P25" s="188">
        <f t="shared" si="16"/>
        <v>0</v>
      </c>
      <c r="Q25" s="309"/>
      <c r="R25" s="225"/>
      <c r="S25" s="315"/>
      <c r="T25" s="315"/>
      <c r="U25" s="188">
        <f t="shared" ref="U25" si="19">SUM(R25-S25+T25)</f>
        <v>0</v>
      </c>
      <c r="V25" s="188"/>
      <c r="W25" s="281"/>
    </row>
    <row r="26" spans="1:23" s="10" customFormat="1" ht="15.75" customHeight="1" x14ac:dyDescent="0.2">
      <c r="A26" s="67"/>
      <c r="B26" s="77"/>
      <c r="C26" s="78">
        <v>2480</v>
      </c>
      <c r="D26" s="45" t="s">
        <v>67</v>
      </c>
      <c r="E26" s="46"/>
      <c r="F26" s="46"/>
      <c r="G26" s="71"/>
      <c r="H26" s="47"/>
      <c r="I26" s="162">
        <f t="shared" si="18"/>
        <v>5100000</v>
      </c>
      <c r="J26" s="163"/>
      <c r="K26" s="181">
        <f t="shared" si="14"/>
        <v>5290700</v>
      </c>
      <c r="L26" s="312">
        <f t="shared" si="15"/>
        <v>5290700</v>
      </c>
      <c r="M26" s="302">
        <v>5100000</v>
      </c>
      <c r="N26" s="188"/>
      <c r="O26" s="188">
        <f>71000+35700+70000+14000</f>
        <v>190700</v>
      </c>
      <c r="P26" s="188">
        <f t="shared" si="16"/>
        <v>5290700</v>
      </c>
      <c r="Q26" s="309">
        <v>5290700</v>
      </c>
      <c r="R26" s="225"/>
      <c r="S26" s="314"/>
      <c r="T26" s="314"/>
      <c r="U26" s="188"/>
      <c r="V26" s="188"/>
      <c r="W26" s="281"/>
    </row>
    <row r="27" spans="1:23" s="10" customFormat="1" ht="15.75" hidden="1" customHeight="1" x14ac:dyDescent="0.2">
      <c r="A27" s="67"/>
      <c r="B27" s="77"/>
      <c r="C27" s="78">
        <v>6220</v>
      </c>
      <c r="D27" s="45" t="s">
        <v>67</v>
      </c>
      <c r="E27" s="46"/>
      <c r="F27" s="46"/>
      <c r="G27" s="71"/>
      <c r="H27" s="47"/>
      <c r="I27" s="162">
        <f t="shared" si="18"/>
        <v>0</v>
      </c>
      <c r="J27" s="163"/>
      <c r="K27" s="181">
        <f t="shared" si="14"/>
        <v>0</v>
      </c>
      <c r="L27" s="312">
        <f t="shared" si="15"/>
        <v>0</v>
      </c>
      <c r="M27" s="302"/>
      <c r="N27" s="313"/>
      <c r="O27" s="188"/>
      <c r="P27" s="188">
        <f t="shared" si="16"/>
        <v>0</v>
      </c>
      <c r="Q27" s="309"/>
      <c r="R27" s="225"/>
      <c r="S27" s="314"/>
      <c r="T27" s="309"/>
      <c r="U27" s="188">
        <f t="shared" si="17"/>
        <v>0</v>
      </c>
      <c r="V27" s="188"/>
      <c r="W27" s="281"/>
    </row>
    <row r="28" spans="1:23" s="10" customFormat="1" ht="14.25" customHeight="1" x14ac:dyDescent="0.2">
      <c r="A28" s="67"/>
      <c r="B28" s="77"/>
      <c r="C28" s="78">
        <v>2480</v>
      </c>
      <c r="D28" s="45" t="s">
        <v>29</v>
      </c>
      <c r="E28" s="46"/>
      <c r="F28" s="46"/>
      <c r="G28" s="71"/>
      <c r="H28" s="47"/>
      <c r="I28" s="162">
        <f t="shared" si="18"/>
        <v>8825460</v>
      </c>
      <c r="J28" s="163"/>
      <c r="K28" s="181">
        <f t="shared" si="14"/>
        <v>10936723</v>
      </c>
      <c r="L28" s="312">
        <f t="shared" si="15"/>
        <v>10932851.689999999</v>
      </c>
      <c r="M28" s="302">
        <f>8810460+15000</f>
        <v>8825460</v>
      </c>
      <c r="N28" s="188"/>
      <c r="O28" s="188">
        <f>27900+83460+307000+457200+13730+11700+2673+236300+43300+500000+428000</f>
        <v>2111263</v>
      </c>
      <c r="P28" s="188">
        <f t="shared" si="16"/>
        <v>10936723</v>
      </c>
      <c r="Q28" s="309">
        <v>10932851.689999999</v>
      </c>
      <c r="R28" s="225"/>
      <c r="S28" s="314"/>
      <c r="T28" s="311"/>
      <c r="U28" s="188"/>
      <c r="V28" s="188"/>
      <c r="W28" s="281"/>
    </row>
    <row r="29" spans="1:23" s="10" customFormat="1" ht="14.25" hidden="1" customHeight="1" x14ac:dyDescent="0.2">
      <c r="A29" s="67"/>
      <c r="B29" s="77"/>
      <c r="C29" s="78">
        <v>2800</v>
      </c>
      <c r="D29" s="45" t="s">
        <v>29</v>
      </c>
      <c r="E29" s="46"/>
      <c r="F29" s="46"/>
      <c r="G29" s="71"/>
      <c r="H29" s="47"/>
      <c r="I29" s="162">
        <f t="shared" si="18"/>
        <v>0</v>
      </c>
      <c r="J29" s="163"/>
      <c r="K29" s="181">
        <f t="shared" si="14"/>
        <v>0</v>
      </c>
      <c r="L29" s="312">
        <f t="shared" si="15"/>
        <v>0</v>
      </c>
      <c r="M29" s="302"/>
      <c r="N29" s="188"/>
      <c r="O29" s="188"/>
      <c r="P29" s="188">
        <f t="shared" si="16"/>
        <v>0</v>
      </c>
      <c r="Q29" s="309"/>
      <c r="R29" s="225"/>
      <c r="S29" s="314"/>
      <c r="T29" s="311"/>
      <c r="U29" s="188">
        <f t="shared" ref="U29" si="20">SUM(R29-S29+T29)</f>
        <v>0</v>
      </c>
      <c r="V29" s="188"/>
      <c r="W29" s="281"/>
    </row>
    <row r="30" spans="1:23" s="10" customFormat="1" ht="14.25" customHeight="1" x14ac:dyDescent="0.2">
      <c r="A30" s="67"/>
      <c r="B30" s="77"/>
      <c r="C30" s="78">
        <v>6220</v>
      </c>
      <c r="D30" s="45" t="s">
        <v>29</v>
      </c>
      <c r="E30" s="46"/>
      <c r="F30" s="46"/>
      <c r="G30" s="71"/>
      <c r="H30" s="47"/>
      <c r="I30" s="162"/>
      <c r="J30" s="163"/>
      <c r="K30" s="181">
        <f t="shared" si="14"/>
        <v>160000</v>
      </c>
      <c r="L30" s="312">
        <f t="shared" si="15"/>
        <v>159412.97</v>
      </c>
      <c r="M30" s="302"/>
      <c r="N30" s="313"/>
      <c r="O30" s="188"/>
      <c r="P30" s="188"/>
      <c r="Q30" s="309"/>
      <c r="R30" s="225"/>
      <c r="S30" s="315"/>
      <c r="T30" s="309">
        <v>160000</v>
      </c>
      <c r="U30" s="188">
        <f t="shared" si="17"/>
        <v>160000</v>
      </c>
      <c r="V30" s="188">
        <v>159412.97</v>
      </c>
      <c r="W30" s="281"/>
    </row>
    <row r="31" spans="1:23" s="10" customFormat="1" ht="14.25" customHeight="1" x14ac:dyDescent="0.2">
      <c r="A31" s="67"/>
      <c r="B31" s="77"/>
      <c r="C31" s="78">
        <v>6229</v>
      </c>
      <c r="D31" s="45" t="s">
        <v>29</v>
      </c>
      <c r="E31" s="46"/>
      <c r="F31" s="46"/>
      <c r="G31" s="71"/>
      <c r="H31" s="47"/>
      <c r="I31" s="162">
        <f t="shared" si="18"/>
        <v>8380000</v>
      </c>
      <c r="J31" s="163"/>
      <c r="K31" s="181">
        <f t="shared" si="14"/>
        <v>8220000</v>
      </c>
      <c r="L31" s="312">
        <f t="shared" si="15"/>
        <v>8220000</v>
      </c>
      <c r="M31" s="302"/>
      <c r="N31" s="313"/>
      <c r="O31" s="188"/>
      <c r="P31" s="188"/>
      <c r="Q31" s="309"/>
      <c r="R31" s="225">
        <v>8380000</v>
      </c>
      <c r="S31" s="315">
        <v>160000</v>
      </c>
      <c r="T31" s="309"/>
      <c r="U31" s="188">
        <f t="shared" si="17"/>
        <v>8220000</v>
      </c>
      <c r="V31" s="188">
        <v>8220000</v>
      </c>
      <c r="W31" s="281"/>
    </row>
    <row r="32" spans="1:23" s="10" customFormat="1" ht="13.5" customHeight="1" x14ac:dyDescent="0.2">
      <c r="A32" s="67"/>
      <c r="B32" s="77"/>
      <c r="C32" s="78">
        <v>2480</v>
      </c>
      <c r="D32" s="45" t="s">
        <v>30</v>
      </c>
      <c r="E32" s="46"/>
      <c r="F32" s="46"/>
      <c r="G32" s="71"/>
      <c r="H32" s="47"/>
      <c r="I32" s="162">
        <f t="shared" si="18"/>
        <v>5258520</v>
      </c>
      <c r="J32" s="162">
        <v>5258520</v>
      </c>
      <c r="K32" s="181">
        <f t="shared" si="14"/>
        <v>6467560</v>
      </c>
      <c r="L32" s="312">
        <f t="shared" si="15"/>
        <v>6467560</v>
      </c>
      <c r="M32" s="302">
        <v>5258520</v>
      </c>
      <c r="N32" s="188"/>
      <c r="O32" s="188">
        <f>179000+36200+63140+179500+80000+97700+450000+123500</f>
        <v>1209040</v>
      </c>
      <c r="P32" s="188">
        <f t="shared" si="16"/>
        <v>6467560</v>
      </c>
      <c r="Q32" s="309">
        <v>6467560</v>
      </c>
      <c r="R32" s="225"/>
      <c r="S32" s="314"/>
      <c r="T32" s="315"/>
      <c r="U32" s="188"/>
      <c r="V32" s="188"/>
      <c r="W32" s="281"/>
    </row>
    <row r="33" spans="1:23" s="10" customFormat="1" ht="13.5" customHeight="1" x14ac:dyDescent="0.2">
      <c r="A33" s="67"/>
      <c r="B33" s="77"/>
      <c r="C33" s="78">
        <v>2800</v>
      </c>
      <c r="D33" s="45" t="s">
        <v>30</v>
      </c>
      <c r="E33" s="46"/>
      <c r="F33" s="46"/>
      <c r="G33" s="71"/>
      <c r="H33" s="47"/>
      <c r="I33" s="162">
        <f t="shared" si="18"/>
        <v>1500000</v>
      </c>
      <c r="J33" s="163"/>
      <c r="K33" s="181">
        <f t="shared" si="14"/>
        <v>1500000</v>
      </c>
      <c r="L33" s="312">
        <f t="shared" si="15"/>
        <v>1500000</v>
      </c>
      <c r="M33" s="302"/>
      <c r="N33" s="188"/>
      <c r="O33" s="188"/>
      <c r="P33" s="188"/>
      <c r="Q33" s="309"/>
      <c r="R33" s="225">
        <v>1500000</v>
      </c>
      <c r="S33" s="315"/>
      <c r="T33" s="315"/>
      <c r="U33" s="188">
        <f t="shared" si="17"/>
        <v>1500000</v>
      </c>
      <c r="V33" s="188">
        <v>1500000</v>
      </c>
      <c r="W33" s="281"/>
    </row>
    <row r="34" spans="1:23" s="10" customFormat="1" ht="13.5" hidden="1" customHeight="1" x14ac:dyDescent="0.2">
      <c r="A34" s="67"/>
      <c r="B34" s="77"/>
      <c r="C34" s="78">
        <v>2806</v>
      </c>
      <c r="D34" s="45" t="s">
        <v>30</v>
      </c>
      <c r="E34" s="46"/>
      <c r="F34" s="46"/>
      <c r="G34" s="71"/>
      <c r="H34" s="47"/>
      <c r="I34" s="162">
        <f t="shared" si="18"/>
        <v>0</v>
      </c>
      <c r="J34" s="163"/>
      <c r="K34" s="181">
        <f t="shared" si="14"/>
        <v>0</v>
      </c>
      <c r="L34" s="312"/>
      <c r="M34" s="302"/>
      <c r="N34" s="188"/>
      <c r="O34" s="188"/>
      <c r="P34" s="188">
        <f t="shared" si="16"/>
        <v>0</v>
      </c>
      <c r="Q34" s="309"/>
      <c r="R34" s="225"/>
      <c r="S34" s="314"/>
      <c r="T34" s="315"/>
      <c r="U34" s="188">
        <f t="shared" si="17"/>
        <v>0</v>
      </c>
      <c r="V34" s="188"/>
      <c r="W34" s="281"/>
    </row>
    <row r="35" spans="1:23" s="10" customFormat="1" ht="13.5" hidden="1" customHeight="1" x14ac:dyDescent="0.2">
      <c r="A35" s="67"/>
      <c r="B35" s="77"/>
      <c r="C35" s="78">
        <v>2807</v>
      </c>
      <c r="D35" s="45" t="s">
        <v>30</v>
      </c>
      <c r="E35" s="46"/>
      <c r="F35" s="46"/>
      <c r="G35" s="71"/>
      <c r="H35" s="47"/>
      <c r="I35" s="162">
        <f t="shared" si="18"/>
        <v>0</v>
      </c>
      <c r="J35" s="163"/>
      <c r="K35" s="181">
        <f t="shared" si="14"/>
        <v>0</v>
      </c>
      <c r="L35" s="312"/>
      <c r="M35" s="302"/>
      <c r="N35" s="188"/>
      <c r="O35" s="188"/>
      <c r="P35" s="188">
        <f t="shared" si="16"/>
        <v>0</v>
      </c>
      <c r="Q35" s="309"/>
      <c r="R35" s="225"/>
      <c r="S35" s="314"/>
      <c r="T35" s="315"/>
      <c r="U35" s="188">
        <f t="shared" si="17"/>
        <v>0</v>
      </c>
      <c r="V35" s="188"/>
      <c r="W35" s="281"/>
    </row>
    <row r="36" spans="1:23" s="10" customFormat="1" ht="13.5" hidden="1" customHeight="1" x14ac:dyDescent="0.2">
      <c r="A36" s="67"/>
      <c r="B36" s="77"/>
      <c r="C36" s="78">
        <v>6220</v>
      </c>
      <c r="D36" s="45" t="s">
        <v>30</v>
      </c>
      <c r="E36" s="46"/>
      <c r="F36" s="46"/>
      <c r="G36" s="71"/>
      <c r="H36" s="47"/>
      <c r="I36" s="162">
        <f t="shared" si="18"/>
        <v>0</v>
      </c>
      <c r="J36" s="163"/>
      <c r="K36" s="181">
        <f t="shared" si="14"/>
        <v>0</v>
      </c>
      <c r="L36" s="312"/>
      <c r="M36" s="302"/>
      <c r="N36" s="188"/>
      <c r="O36" s="188"/>
      <c r="P36" s="188">
        <f t="shared" si="16"/>
        <v>0</v>
      </c>
      <c r="Q36" s="309"/>
      <c r="R36" s="225"/>
      <c r="S36" s="314"/>
      <c r="T36" s="315"/>
      <c r="U36" s="188">
        <f t="shared" ref="U36" si="21">SUM(R36-S36+T36)</f>
        <v>0</v>
      </c>
      <c r="V36" s="188"/>
      <c r="W36" s="281"/>
    </row>
    <row r="37" spans="1:23" s="10" customFormat="1" ht="15" hidden="1" customHeight="1" x14ac:dyDescent="0.2">
      <c r="A37" s="67"/>
      <c r="B37" s="77"/>
      <c r="C37" s="78">
        <v>6226</v>
      </c>
      <c r="D37" s="45" t="s">
        <v>30</v>
      </c>
      <c r="E37" s="46"/>
      <c r="F37" s="46"/>
      <c r="G37" s="71"/>
      <c r="H37" s="47"/>
      <c r="I37" s="162">
        <f t="shared" si="18"/>
        <v>0</v>
      </c>
      <c r="J37" s="163"/>
      <c r="K37" s="181">
        <f t="shared" si="14"/>
        <v>0</v>
      </c>
      <c r="L37" s="312"/>
      <c r="M37" s="302"/>
      <c r="N37" s="313"/>
      <c r="O37" s="313"/>
      <c r="P37" s="188">
        <f t="shared" si="16"/>
        <v>0</v>
      </c>
      <c r="Q37" s="309"/>
      <c r="R37" s="225"/>
      <c r="S37" s="315"/>
      <c r="T37" s="315"/>
      <c r="U37" s="188">
        <f t="shared" si="17"/>
        <v>0</v>
      </c>
      <c r="V37" s="188"/>
      <c r="W37" s="281"/>
    </row>
    <row r="38" spans="1:23" s="10" customFormat="1" ht="15" hidden="1" customHeight="1" x14ac:dyDescent="0.2">
      <c r="A38" s="67"/>
      <c r="B38" s="77"/>
      <c r="C38" s="78">
        <v>6226</v>
      </c>
      <c r="D38" s="45" t="s">
        <v>30</v>
      </c>
      <c r="E38" s="46"/>
      <c r="F38" s="46">
        <v>773000</v>
      </c>
      <c r="G38" s="71"/>
      <c r="H38" s="47">
        <v>45000</v>
      </c>
      <c r="I38" s="162">
        <f t="shared" si="18"/>
        <v>0</v>
      </c>
      <c r="J38" s="163"/>
      <c r="K38" s="181">
        <f t="shared" si="14"/>
        <v>0</v>
      </c>
      <c r="L38" s="312"/>
      <c r="M38" s="302"/>
      <c r="N38" s="313"/>
      <c r="O38" s="313"/>
      <c r="P38" s="188">
        <f t="shared" si="16"/>
        <v>0</v>
      </c>
      <c r="Q38" s="309"/>
      <c r="R38" s="225"/>
      <c r="S38" s="314"/>
      <c r="T38" s="314"/>
      <c r="U38" s="188">
        <f t="shared" si="17"/>
        <v>0</v>
      </c>
      <c r="V38" s="188"/>
      <c r="W38" s="281"/>
    </row>
    <row r="39" spans="1:23" s="10" customFormat="1" ht="15" hidden="1" customHeight="1" x14ac:dyDescent="0.2">
      <c r="A39" s="67"/>
      <c r="B39" s="77"/>
      <c r="C39" s="78">
        <v>6226</v>
      </c>
      <c r="D39" s="45" t="s">
        <v>30</v>
      </c>
      <c r="E39" s="46"/>
      <c r="F39" s="46">
        <v>745000</v>
      </c>
      <c r="G39" s="71"/>
      <c r="H39" s="47"/>
      <c r="I39" s="162">
        <f t="shared" si="18"/>
        <v>0</v>
      </c>
      <c r="J39" s="163"/>
      <c r="K39" s="181">
        <f t="shared" si="14"/>
        <v>0</v>
      </c>
      <c r="L39" s="312"/>
      <c r="M39" s="302"/>
      <c r="N39" s="313"/>
      <c r="O39" s="313"/>
      <c r="P39" s="188">
        <f t="shared" si="16"/>
        <v>0</v>
      </c>
      <c r="Q39" s="309"/>
      <c r="R39" s="225"/>
      <c r="S39" s="314"/>
      <c r="T39" s="314"/>
      <c r="U39" s="188">
        <f t="shared" si="17"/>
        <v>0</v>
      </c>
      <c r="V39" s="188"/>
      <c r="W39" s="281"/>
    </row>
    <row r="40" spans="1:23" s="10" customFormat="1" ht="15" hidden="1" customHeight="1" x14ac:dyDescent="0.2">
      <c r="A40" s="67"/>
      <c r="B40" s="77"/>
      <c r="C40" s="78">
        <v>6227</v>
      </c>
      <c r="D40" s="45" t="s">
        <v>30</v>
      </c>
      <c r="E40" s="46"/>
      <c r="F40" s="46"/>
      <c r="G40" s="71"/>
      <c r="H40" s="47"/>
      <c r="I40" s="162">
        <f t="shared" si="18"/>
        <v>0</v>
      </c>
      <c r="J40" s="163"/>
      <c r="K40" s="181">
        <f t="shared" si="14"/>
        <v>0</v>
      </c>
      <c r="L40" s="312"/>
      <c r="M40" s="302"/>
      <c r="N40" s="313"/>
      <c r="O40" s="313"/>
      <c r="P40" s="188">
        <f t="shared" si="16"/>
        <v>0</v>
      </c>
      <c r="Q40" s="309"/>
      <c r="R40" s="225"/>
      <c r="S40" s="315"/>
      <c r="T40" s="315"/>
      <c r="U40" s="188">
        <f t="shared" si="17"/>
        <v>0</v>
      </c>
      <c r="V40" s="188"/>
      <c r="W40" s="281"/>
    </row>
    <row r="41" spans="1:23" s="10" customFormat="1" ht="15" hidden="1" customHeight="1" x14ac:dyDescent="0.2">
      <c r="A41" s="67"/>
      <c r="B41" s="77"/>
      <c r="C41" s="78">
        <v>6229</v>
      </c>
      <c r="D41" s="45" t="s">
        <v>30</v>
      </c>
      <c r="E41" s="46"/>
      <c r="F41" s="46"/>
      <c r="G41" s="71"/>
      <c r="H41" s="47"/>
      <c r="I41" s="162">
        <f t="shared" si="18"/>
        <v>0</v>
      </c>
      <c r="J41" s="163"/>
      <c r="K41" s="181">
        <f t="shared" si="14"/>
        <v>0</v>
      </c>
      <c r="L41" s="312"/>
      <c r="M41" s="302"/>
      <c r="N41" s="313"/>
      <c r="O41" s="313"/>
      <c r="P41" s="188">
        <f t="shared" si="16"/>
        <v>0</v>
      </c>
      <c r="Q41" s="309"/>
      <c r="R41" s="225"/>
      <c r="S41" s="315"/>
      <c r="T41" s="315"/>
      <c r="U41" s="188">
        <f t="shared" si="17"/>
        <v>0</v>
      </c>
      <c r="V41" s="188"/>
      <c r="W41" s="281"/>
    </row>
    <row r="42" spans="1:23" s="33" customFormat="1" ht="3.75" customHeight="1" x14ac:dyDescent="0.2">
      <c r="A42" s="79"/>
      <c r="B42" s="80"/>
      <c r="C42" s="81"/>
      <c r="D42" s="57"/>
      <c r="E42" s="58"/>
      <c r="F42" s="58"/>
      <c r="G42" s="59"/>
      <c r="H42" s="60"/>
      <c r="I42" s="183"/>
      <c r="J42" s="184"/>
      <c r="K42" s="181"/>
      <c r="L42" s="312"/>
      <c r="M42" s="302"/>
      <c r="N42" s="313"/>
      <c r="O42" s="313"/>
      <c r="P42" s="188"/>
      <c r="Q42" s="309"/>
      <c r="R42" s="225"/>
      <c r="S42" s="314"/>
      <c r="T42" s="314"/>
      <c r="U42" s="188"/>
      <c r="V42" s="188"/>
      <c r="W42" s="281"/>
    </row>
    <row r="43" spans="1:23" s="10" customFormat="1" ht="15" customHeight="1" x14ac:dyDescent="0.2">
      <c r="A43" s="67"/>
      <c r="B43" s="77"/>
      <c r="C43" s="78"/>
      <c r="D43" s="45"/>
      <c r="E43" s="46" t="s">
        <v>0</v>
      </c>
      <c r="F43" s="46"/>
      <c r="G43" s="46"/>
      <c r="H43" s="46"/>
      <c r="I43" s="162">
        <f>SUM(I46:I53)</f>
        <v>19032380</v>
      </c>
      <c r="J43" s="163">
        <v>0</v>
      </c>
      <c r="K43" s="181">
        <f>SUM(K46:K53)</f>
        <v>23161180</v>
      </c>
      <c r="L43" s="312">
        <f>SUM(L46:L53)</f>
        <v>23158392.43</v>
      </c>
      <c r="M43" s="302">
        <f>SUM(M46:M53)</f>
        <v>14632380</v>
      </c>
      <c r="N43" s="188">
        <f t="shared" ref="N43:R43" si="22">SUM(N46:N53)</f>
        <v>0</v>
      </c>
      <c r="O43" s="188">
        <f t="shared" si="22"/>
        <v>4128800</v>
      </c>
      <c r="P43" s="188">
        <f>SUM(P46:P53)</f>
        <v>18761180</v>
      </c>
      <c r="Q43" s="309">
        <v>18761180</v>
      </c>
      <c r="R43" s="225">
        <f t="shared" si="22"/>
        <v>4400000</v>
      </c>
      <c r="S43" s="188"/>
      <c r="T43" s="309"/>
      <c r="U43" s="188">
        <f t="shared" ref="U43:V43" si="23">SUM(U46:U53)</f>
        <v>4400000</v>
      </c>
      <c r="V43" s="188">
        <f t="shared" si="23"/>
        <v>4397212.43</v>
      </c>
      <c r="W43" s="281"/>
    </row>
    <row r="44" spans="1:23" s="10" customFormat="1" ht="15" hidden="1" customHeight="1" x14ac:dyDescent="0.2">
      <c r="A44" s="67"/>
      <c r="B44" s="77"/>
      <c r="C44" s="78">
        <v>2480</v>
      </c>
      <c r="D44" s="45" t="s">
        <v>33</v>
      </c>
      <c r="E44" s="46"/>
      <c r="F44" s="46">
        <v>4604000</v>
      </c>
      <c r="G44" s="71"/>
      <c r="H44" s="47">
        <v>47000</v>
      </c>
      <c r="I44" s="162"/>
      <c r="J44" s="163"/>
      <c r="K44" s="181"/>
      <c r="L44" s="312"/>
      <c r="M44" s="302"/>
      <c r="N44" s="313"/>
      <c r="O44" s="313"/>
      <c r="P44" s="188">
        <v>0</v>
      </c>
      <c r="Q44" s="309"/>
      <c r="R44" s="225"/>
      <c r="S44" s="314"/>
      <c r="T44" s="314"/>
      <c r="U44" s="188">
        <v>0</v>
      </c>
      <c r="V44" s="188"/>
      <c r="W44" s="281"/>
    </row>
    <row r="45" spans="1:23" s="10" customFormat="1" ht="15" hidden="1" customHeight="1" x14ac:dyDescent="0.2">
      <c r="A45" s="67"/>
      <c r="B45" s="77"/>
      <c r="C45" s="78">
        <v>6220</v>
      </c>
      <c r="D45" s="45" t="s">
        <v>33</v>
      </c>
      <c r="E45" s="46"/>
      <c r="F45" s="46"/>
      <c r="G45" s="71"/>
      <c r="H45" s="47">
        <v>350000</v>
      </c>
      <c r="I45" s="162"/>
      <c r="J45" s="163"/>
      <c r="K45" s="181"/>
      <c r="L45" s="312"/>
      <c r="M45" s="302"/>
      <c r="N45" s="313"/>
      <c r="O45" s="313"/>
      <c r="P45" s="188">
        <v>0</v>
      </c>
      <c r="Q45" s="309"/>
      <c r="R45" s="225"/>
      <c r="S45" s="314"/>
      <c r="T45" s="314"/>
      <c r="U45" s="188">
        <v>0</v>
      </c>
      <c r="V45" s="188"/>
      <c r="W45" s="281"/>
    </row>
    <row r="46" spans="1:23" s="10" customFormat="1" ht="15" customHeight="1" x14ac:dyDescent="0.2">
      <c r="A46" s="67"/>
      <c r="B46" s="77"/>
      <c r="C46" s="78">
        <v>2480</v>
      </c>
      <c r="D46" s="45" t="s">
        <v>33</v>
      </c>
      <c r="E46" s="46"/>
      <c r="F46" s="46"/>
      <c r="G46" s="71"/>
      <c r="H46" s="47"/>
      <c r="I46" s="162">
        <f t="shared" ref="I46:I53" si="24">SUM(M46,R46)</f>
        <v>8501040</v>
      </c>
      <c r="J46" s="162">
        <v>8501040</v>
      </c>
      <c r="K46" s="181">
        <f t="shared" ref="K46:K53" si="25">SUM(P46,U46)</f>
        <v>10329540</v>
      </c>
      <c r="L46" s="312">
        <f t="shared" ref="L46:L49" si="26">SUM(Q46,V46)</f>
        <v>10329540</v>
      </c>
      <c r="M46" s="302">
        <v>8501040</v>
      </c>
      <c r="N46" s="313"/>
      <c r="O46" s="188">
        <f>8300+50000+546100+273100+500000+451000</f>
        <v>1828500</v>
      </c>
      <c r="P46" s="188">
        <f>SUM(M46-N46+O46)</f>
        <v>10329540</v>
      </c>
      <c r="Q46" s="309">
        <v>10329540</v>
      </c>
      <c r="R46" s="225"/>
      <c r="S46" s="314"/>
      <c r="T46" s="314"/>
      <c r="U46" s="188"/>
      <c r="V46" s="188"/>
      <c r="W46" s="281"/>
    </row>
    <row r="47" spans="1:23" s="10" customFormat="1" ht="15" customHeight="1" x14ac:dyDescent="0.2">
      <c r="A47" s="67"/>
      <c r="B47" s="77"/>
      <c r="C47" s="78">
        <v>6560</v>
      </c>
      <c r="D47" s="45" t="s">
        <v>33</v>
      </c>
      <c r="E47" s="46"/>
      <c r="F47" s="46"/>
      <c r="G47" s="71"/>
      <c r="H47" s="47"/>
      <c r="I47" s="162">
        <f t="shared" si="24"/>
        <v>1900000</v>
      </c>
      <c r="J47" s="162"/>
      <c r="K47" s="181">
        <f t="shared" si="25"/>
        <v>1900000</v>
      </c>
      <c r="L47" s="312">
        <f t="shared" si="26"/>
        <v>1897212.43</v>
      </c>
      <c r="M47" s="302"/>
      <c r="N47" s="313"/>
      <c r="O47" s="188"/>
      <c r="P47" s="188"/>
      <c r="Q47" s="309"/>
      <c r="R47" s="225">
        <v>1900000</v>
      </c>
      <c r="S47" s="314"/>
      <c r="T47" s="315"/>
      <c r="U47" s="188">
        <f>SUM(R47-S47+T47)</f>
        <v>1900000</v>
      </c>
      <c r="V47" s="188">
        <v>1897212.43</v>
      </c>
      <c r="W47" s="281"/>
    </row>
    <row r="48" spans="1:23" s="10" customFormat="1" ht="15" customHeight="1" x14ac:dyDescent="0.2">
      <c r="A48" s="67"/>
      <c r="B48" s="77"/>
      <c r="C48" s="78">
        <v>2480</v>
      </c>
      <c r="D48" s="45" t="s">
        <v>71</v>
      </c>
      <c r="E48" s="46"/>
      <c r="F48" s="46"/>
      <c r="G48" s="71"/>
      <c r="H48" s="47"/>
      <c r="I48" s="188">
        <f t="shared" si="24"/>
        <v>6131340</v>
      </c>
      <c r="J48" s="182">
        <v>6131340</v>
      </c>
      <c r="K48" s="181">
        <f t="shared" si="25"/>
        <v>8431640</v>
      </c>
      <c r="L48" s="312">
        <f t="shared" si="26"/>
        <v>8431640</v>
      </c>
      <c r="M48" s="302">
        <v>6131340</v>
      </c>
      <c r="N48" s="313"/>
      <c r="O48" s="188">
        <f>716100+476100+238100+350000+520000</f>
        <v>2300300</v>
      </c>
      <c r="P48" s="188">
        <f t="shared" ref="P48:P53" si="27">SUM(M48-N48+O48)</f>
        <v>8431640</v>
      </c>
      <c r="Q48" s="309">
        <v>8431640</v>
      </c>
      <c r="R48" s="225"/>
      <c r="S48" s="314"/>
      <c r="T48" s="314"/>
      <c r="U48" s="188"/>
      <c r="V48" s="188"/>
      <c r="W48" s="281"/>
    </row>
    <row r="49" spans="1:23" s="10" customFormat="1" ht="15" customHeight="1" x14ac:dyDescent="0.2">
      <c r="A49" s="67"/>
      <c r="B49" s="77"/>
      <c r="C49" s="78">
        <v>2800</v>
      </c>
      <c r="D49" s="45" t="s">
        <v>71</v>
      </c>
      <c r="E49" s="46"/>
      <c r="F49" s="46"/>
      <c r="G49" s="71"/>
      <c r="H49" s="47"/>
      <c r="I49" s="162">
        <f t="shared" si="24"/>
        <v>2500000</v>
      </c>
      <c r="J49" s="162">
        <f t="shared" ref="J49" si="28">SUM(N49,S49)</f>
        <v>0</v>
      </c>
      <c r="K49" s="181">
        <f t="shared" si="25"/>
        <v>2500000</v>
      </c>
      <c r="L49" s="312">
        <f t="shared" si="26"/>
        <v>2500000</v>
      </c>
      <c r="M49" s="302"/>
      <c r="N49" s="313"/>
      <c r="O49" s="188"/>
      <c r="P49" s="188"/>
      <c r="Q49" s="309"/>
      <c r="R49" s="225">
        <v>2500000</v>
      </c>
      <c r="S49" s="314"/>
      <c r="T49" s="314"/>
      <c r="U49" s="188">
        <f>SUM(R49-S49+T49)</f>
        <v>2500000</v>
      </c>
      <c r="V49" s="188">
        <v>2500000</v>
      </c>
      <c r="W49" s="281"/>
    </row>
    <row r="50" spans="1:23" s="10" customFormat="1" ht="15" hidden="1" customHeight="1" x14ac:dyDescent="0.2">
      <c r="A50" s="67"/>
      <c r="B50" s="77"/>
      <c r="C50" s="78">
        <v>6220</v>
      </c>
      <c r="D50" s="45" t="s">
        <v>71</v>
      </c>
      <c r="E50" s="46"/>
      <c r="F50" s="46"/>
      <c r="G50" s="71"/>
      <c r="H50" s="47"/>
      <c r="I50" s="162">
        <f t="shared" si="24"/>
        <v>0</v>
      </c>
      <c r="J50" s="163"/>
      <c r="K50" s="181">
        <f t="shared" si="25"/>
        <v>0</v>
      </c>
      <c r="L50" s="312"/>
      <c r="M50" s="302"/>
      <c r="N50" s="313"/>
      <c r="O50" s="188"/>
      <c r="P50" s="188">
        <f t="shared" si="27"/>
        <v>0</v>
      </c>
      <c r="Q50" s="309"/>
      <c r="R50" s="225"/>
      <c r="S50" s="314"/>
      <c r="T50" s="315"/>
      <c r="U50" s="188">
        <f>SUM(R50-S50+T50)</f>
        <v>0</v>
      </c>
      <c r="V50" s="188"/>
      <c r="W50" s="281"/>
    </row>
    <row r="51" spans="1:23" s="10" customFormat="1" ht="15" hidden="1" customHeight="1" x14ac:dyDescent="0.2">
      <c r="A51" s="67"/>
      <c r="B51" s="77"/>
      <c r="C51" s="78">
        <v>6226</v>
      </c>
      <c r="D51" s="45" t="s">
        <v>71</v>
      </c>
      <c r="E51" s="46"/>
      <c r="F51" s="46"/>
      <c r="G51" s="71"/>
      <c r="H51" s="47"/>
      <c r="I51" s="162">
        <f t="shared" si="24"/>
        <v>0</v>
      </c>
      <c r="J51" s="163"/>
      <c r="K51" s="181">
        <f t="shared" si="25"/>
        <v>0</v>
      </c>
      <c r="L51" s="312"/>
      <c r="M51" s="302"/>
      <c r="N51" s="313"/>
      <c r="O51" s="188"/>
      <c r="P51" s="188">
        <f t="shared" si="27"/>
        <v>0</v>
      </c>
      <c r="Q51" s="309"/>
      <c r="R51" s="225"/>
      <c r="S51" s="315"/>
      <c r="T51" s="315"/>
      <c r="U51" s="188">
        <f t="shared" ref="U51:U53" si="29">SUM(R51-S51+T51)</f>
        <v>0</v>
      </c>
      <c r="V51" s="188"/>
      <c r="W51" s="281"/>
    </row>
    <row r="52" spans="1:23" s="10" customFormat="1" ht="15" hidden="1" customHeight="1" x14ac:dyDescent="0.2">
      <c r="A52" s="67"/>
      <c r="B52" s="77"/>
      <c r="C52" s="78">
        <v>6227</v>
      </c>
      <c r="D52" s="45" t="s">
        <v>71</v>
      </c>
      <c r="E52" s="46"/>
      <c r="F52" s="46"/>
      <c r="G52" s="71"/>
      <c r="H52" s="47"/>
      <c r="I52" s="162">
        <f t="shared" si="24"/>
        <v>0</v>
      </c>
      <c r="J52" s="163"/>
      <c r="K52" s="181">
        <f t="shared" si="25"/>
        <v>0</v>
      </c>
      <c r="L52" s="312"/>
      <c r="M52" s="302"/>
      <c r="N52" s="313"/>
      <c r="O52" s="188"/>
      <c r="P52" s="188">
        <f t="shared" si="27"/>
        <v>0</v>
      </c>
      <c r="Q52" s="309"/>
      <c r="R52" s="225"/>
      <c r="S52" s="315"/>
      <c r="T52" s="315"/>
      <c r="U52" s="188">
        <f t="shared" si="29"/>
        <v>0</v>
      </c>
      <c r="V52" s="188"/>
      <c r="W52" s="281"/>
    </row>
    <row r="53" spans="1:23" s="10" customFormat="1" ht="15" hidden="1" customHeight="1" x14ac:dyDescent="0.2">
      <c r="A53" s="67"/>
      <c r="B53" s="77"/>
      <c r="C53" s="78">
        <v>6229</v>
      </c>
      <c r="D53" s="45" t="s">
        <v>71</v>
      </c>
      <c r="E53" s="46"/>
      <c r="F53" s="46"/>
      <c r="G53" s="71"/>
      <c r="H53" s="47"/>
      <c r="I53" s="162">
        <f t="shared" si="24"/>
        <v>0</v>
      </c>
      <c r="J53" s="163"/>
      <c r="K53" s="181">
        <f t="shared" si="25"/>
        <v>0</v>
      </c>
      <c r="L53" s="312"/>
      <c r="M53" s="302"/>
      <c r="N53" s="313"/>
      <c r="O53" s="188"/>
      <c r="P53" s="188">
        <f t="shared" si="27"/>
        <v>0</v>
      </c>
      <c r="Q53" s="309"/>
      <c r="R53" s="225"/>
      <c r="S53" s="314"/>
      <c r="T53" s="315"/>
      <c r="U53" s="188">
        <f t="shared" si="29"/>
        <v>0</v>
      </c>
      <c r="V53" s="188"/>
      <c r="W53" s="281"/>
    </row>
    <row r="54" spans="1:23" s="10" customFormat="1" ht="3" customHeight="1" x14ac:dyDescent="0.2">
      <c r="A54" s="67"/>
      <c r="B54" s="82"/>
      <c r="C54" s="78"/>
      <c r="D54" s="45"/>
      <c r="E54" s="46"/>
      <c r="F54" s="46"/>
      <c r="G54" s="71"/>
      <c r="H54" s="47"/>
      <c r="I54" s="162"/>
      <c r="J54" s="163"/>
      <c r="K54" s="187"/>
      <c r="L54" s="312"/>
      <c r="M54" s="302"/>
      <c r="N54" s="313"/>
      <c r="O54" s="313"/>
      <c r="P54" s="188"/>
      <c r="Q54" s="309"/>
      <c r="R54" s="225"/>
      <c r="S54" s="314"/>
      <c r="T54" s="314"/>
      <c r="U54" s="188"/>
      <c r="V54" s="188"/>
      <c r="W54" s="281"/>
    </row>
    <row r="55" spans="1:23" s="10" customFormat="1" ht="15" customHeight="1" x14ac:dyDescent="0.2">
      <c r="A55" s="67"/>
      <c r="B55" s="75">
        <v>92108</v>
      </c>
      <c r="C55" s="76"/>
      <c r="D55" s="52" t="s">
        <v>4</v>
      </c>
      <c r="E55" s="53" t="s">
        <v>21</v>
      </c>
      <c r="F55" s="54">
        <f>SUM(F57+F60)</f>
        <v>0</v>
      </c>
      <c r="G55" s="83">
        <f>SUM(G57+G60)</f>
        <v>0</v>
      </c>
      <c r="H55" s="54">
        <f>SUM(H57+H60)</f>
        <v>0</v>
      </c>
      <c r="I55" s="168">
        <f>SUM(I57,I60)</f>
        <v>9992770</v>
      </c>
      <c r="J55" s="169">
        <v>0</v>
      </c>
      <c r="K55" s="181">
        <f>SUM(K57,K60)</f>
        <v>13403770</v>
      </c>
      <c r="L55" s="316">
        <f>SUM(L57,L60)</f>
        <v>13403770</v>
      </c>
      <c r="M55" s="310">
        <f t="shared" ref="M55:V55" si="30">SUM(M57,M60)</f>
        <v>8492770</v>
      </c>
      <c r="N55" s="204">
        <f t="shared" si="30"/>
        <v>0</v>
      </c>
      <c r="O55" s="204">
        <f t="shared" si="30"/>
        <v>3411000</v>
      </c>
      <c r="P55" s="204">
        <f t="shared" si="30"/>
        <v>11903770</v>
      </c>
      <c r="Q55" s="204">
        <f t="shared" ref="Q55" si="31">SUM(Q57,Q60)</f>
        <v>11903770</v>
      </c>
      <c r="R55" s="299">
        <f t="shared" si="30"/>
        <v>1500000</v>
      </c>
      <c r="S55" s="317">
        <f t="shared" si="30"/>
        <v>0</v>
      </c>
      <c r="T55" s="318">
        <f t="shared" si="30"/>
        <v>0</v>
      </c>
      <c r="U55" s="204">
        <f t="shared" si="30"/>
        <v>1500000</v>
      </c>
      <c r="V55" s="204">
        <f t="shared" si="30"/>
        <v>1500000</v>
      </c>
      <c r="W55" s="281"/>
    </row>
    <row r="56" spans="1:23" s="10" customFormat="1" ht="15.75" customHeight="1" x14ac:dyDescent="0.2">
      <c r="A56" s="67"/>
      <c r="B56" s="77"/>
      <c r="C56" s="78"/>
      <c r="D56" s="45"/>
      <c r="E56" s="70" t="s">
        <v>22</v>
      </c>
      <c r="F56" s="46"/>
      <c r="G56" s="46"/>
      <c r="H56" s="46"/>
      <c r="I56" s="162"/>
      <c r="J56" s="163"/>
      <c r="K56" s="181"/>
      <c r="L56" s="312"/>
      <c r="M56" s="302"/>
      <c r="N56" s="188"/>
      <c r="O56" s="188"/>
      <c r="P56" s="188"/>
      <c r="Q56" s="188"/>
      <c r="R56" s="225"/>
      <c r="S56" s="314"/>
      <c r="T56" s="315"/>
      <c r="U56" s="188"/>
      <c r="V56" s="188"/>
      <c r="W56" s="281"/>
    </row>
    <row r="57" spans="1:23" s="10" customFormat="1" ht="15" customHeight="1" x14ac:dyDescent="0.2">
      <c r="A57" s="67"/>
      <c r="B57" s="77"/>
      <c r="C57" s="78"/>
      <c r="D57" s="45"/>
      <c r="E57" s="46" t="s">
        <v>1</v>
      </c>
      <c r="F57" s="46">
        <f>SUM(F58)</f>
        <v>0</v>
      </c>
      <c r="G57" s="46">
        <f>SUM(G58)</f>
        <v>0</v>
      </c>
      <c r="H57" s="46">
        <f>SUM(H58)</f>
        <v>0</v>
      </c>
      <c r="I57" s="162">
        <f>SUM(I58)</f>
        <v>3617070</v>
      </c>
      <c r="J57" s="163">
        <v>0</v>
      </c>
      <c r="K57" s="181">
        <f>SUM(K58:K59)</f>
        <v>4900070</v>
      </c>
      <c r="L57" s="312">
        <f>SUM(L58:L59)</f>
        <v>4900070</v>
      </c>
      <c r="M57" s="302">
        <f t="shared" ref="M57:Q57" si="32">SUM(M58)</f>
        <v>3617070</v>
      </c>
      <c r="N57" s="188">
        <f t="shared" si="32"/>
        <v>0</v>
      </c>
      <c r="O57" s="188">
        <f t="shared" si="32"/>
        <v>1283000</v>
      </c>
      <c r="P57" s="188">
        <f t="shared" si="32"/>
        <v>4900070</v>
      </c>
      <c r="Q57" s="188">
        <f t="shared" si="32"/>
        <v>4900070</v>
      </c>
      <c r="R57" s="225"/>
      <c r="S57" s="314"/>
      <c r="T57" s="315"/>
      <c r="U57" s="188"/>
      <c r="V57" s="188"/>
      <c r="W57" s="281"/>
    </row>
    <row r="58" spans="1:23" s="10" customFormat="1" ht="15" customHeight="1" x14ac:dyDescent="0.2">
      <c r="A58" s="67"/>
      <c r="B58" s="77"/>
      <c r="C58" s="78">
        <v>2480</v>
      </c>
      <c r="D58" s="45" t="s">
        <v>34</v>
      </c>
      <c r="E58" s="46"/>
      <c r="F58" s="46"/>
      <c r="G58" s="71"/>
      <c r="H58" s="47"/>
      <c r="I58" s="162">
        <f t="shared" ref="I58" si="33">SUM(M58,R58)</f>
        <v>3617070</v>
      </c>
      <c r="J58" s="163"/>
      <c r="K58" s="181">
        <f>SUM(P58,U58)</f>
        <v>4900070</v>
      </c>
      <c r="L58" s="312">
        <f>SUM(Q58,V58)</f>
        <v>4900070</v>
      </c>
      <c r="M58" s="302">
        <v>3617070</v>
      </c>
      <c r="N58" s="313"/>
      <c r="O58" s="188">
        <f>235000+230000+28000+147500+60000+182500+200000+200000</f>
        <v>1283000</v>
      </c>
      <c r="P58" s="188">
        <f>SUM(M58-N58+O58)</f>
        <v>4900070</v>
      </c>
      <c r="Q58" s="309">
        <v>4900070</v>
      </c>
      <c r="R58" s="225"/>
      <c r="S58" s="314"/>
      <c r="T58" s="315"/>
      <c r="U58" s="188"/>
      <c r="V58" s="188"/>
      <c r="W58" s="281"/>
    </row>
    <row r="59" spans="1:23" s="10" customFormat="1" ht="15" hidden="1" customHeight="1" x14ac:dyDescent="0.2">
      <c r="A59" s="67"/>
      <c r="B59" s="77"/>
      <c r="C59" s="78">
        <v>6220</v>
      </c>
      <c r="D59" s="45" t="s">
        <v>34</v>
      </c>
      <c r="E59" s="46"/>
      <c r="F59" s="46"/>
      <c r="G59" s="139"/>
      <c r="H59" s="45"/>
      <c r="I59" s="162"/>
      <c r="J59" s="163"/>
      <c r="K59" s="181">
        <f>SUM(P59,U59)</f>
        <v>0</v>
      </c>
      <c r="L59" s="312"/>
      <c r="M59" s="302"/>
      <c r="N59" s="313"/>
      <c r="O59" s="188"/>
      <c r="P59" s="188">
        <f>SUM(M59-N59+O59)</f>
        <v>0</v>
      </c>
      <c r="Q59" s="309"/>
      <c r="R59" s="225"/>
      <c r="S59" s="314"/>
      <c r="T59" s="315"/>
      <c r="U59" s="188">
        <f t="shared" ref="U59" si="34">SUM(R59-S59+T59)</f>
        <v>0</v>
      </c>
      <c r="V59" s="188"/>
      <c r="W59" s="281"/>
    </row>
    <row r="60" spans="1:23" s="10" customFormat="1" ht="14.25" customHeight="1" x14ac:dyDescent="0.2">
      <c r="A60" s="67"/>
      <c r="B60" s="77"/>
      <c r="C60" s="78"/>
      <c r="D60" s="45"/>
      <c r="E60" s="46" t="s">
        <v>0</v>
      </c>
      <c r="F60" s="46">
        <f>SUM(F61)</f>
        <v>0</v>
      </c>
      <c r="G60" s="46">
        <f>SUM(G61)</f>
        <v>0</v>
      </c>
      <c r="H60" s="46">
        <f>SUM(H61)</f>
        <v>0</v>
      </c>
      <c r="I60" s="162">
        <f>SUM(I61:I63)</f>
        <v>6375700</v>
      </c>
      <c r="J60" s="163">
        <v>0</v>
      </c>
      <c r="K60" s="181">
        <f>SUM(K61:K63)</f>
        <v>8503700</v>
      </c>
      <c r="L60" s="312">
        <f>SUM(L61:L63)</f>
        <v>8503700</v>
      </c>
      <c r="M60" s="302">
        <f>SUM(M61:M63)</f>
        <v>4875700</v>
      </c>
      <c r="N60" s="188">
        <f t="shared" ref="N60:O60" si="35">SUM(N61:N63)</f>
        <v>0</v>
      </c>
      <c r="O60" s="188">
        <f t="shared" si="35"/>
        <v>2128000</v>
      </c>
      <c r="P60" s="188">
        <f>SUM(P61:P63)</f>
        <v>7003700</v>
      </c>
      <c r="Q60" s="188">
        <f>SUM(Q61:Q63)</f>
        <v>7003700</v>
      </c>
      <c r="R60" s="225">
        <f>SUM(R61:R63)</f>
        <v>1500000</v>
      </c>
      <c r="S60" s="314">
        <f t="shared" ref="S60:V60" si="36">SUM(S61:S63)</f>
        <v>0</v>
      </c>
      <c r="T60" s="314">
        <f t="shared" si="36"/>
        <v>0</v>
      </c>
      <c r="U60" s="188">
        <f t="shared" si="36"/>
        <v>1500000</v>
      </c>
      <c r="V60" s="188">
        <f t="shared" si="36"/>
        <v>1500000</v>
      </c>
      <c r="W60" s="281"/>
    </row>
    <row r="61" spans="1:23" s="10" customFormat="1" ht="15" customHeight="1" x14ac:dyDescent="0.2">
      <c r="A61" s="67"/>
      <c r="B61" s="82"/>
      <c r="C61" s="78">
        <v>2480</v>
      </c>
      <c r="D61" s="45" t="s">
        <v>35</v>
      </c>
      <c r="E61" s="46"/>
      <c r="F61" s="46"/>
      <c r="G61" s="71"/>
      <c r="H61" s="47"/>
      <c r="I61" s="162">
        <f t="shared" ref="I61:I63" si="37">SUM(M61,R61)</f>
        <v>4875700</v>
      </c>
      <c r="J61" s="163"/>
      <c r="K61" s="181">
        <f>SUM(P61,U61)</f>
        <v>7003700</v>
      </c>
      <c r="L61" s="312">
        <f>SUM(Q61,V61)</f>
        <v>7003700</v>
      </c>
      <c r="M61" s="302">
        <v>4875700</v>
      </c>
      <c r="N61" s="313"/>
      <c r="O61" s="188">
        <f>400000+441000+222600+60000+200000+304400+300000+200000</f>
        <v>2128000</v>
      </c>
      <c r="P61" s="188">
        <f t="shared" ref="P61:P63" si="38">SUM(M61-N61+O61)</f>
        <v>7003700</v>
      </c>
      <c r="Q61" s="309">
        <v>7003700</v>
      </c>
      <c r="R61" s="225"/>
      <c r="S61" s="314"/>
      <c r="T61" s="315"/>
      <c r="U61" s="188"/>
      <c r="V61" s="188"/>
      <c r="W61" s="281"/>
    </row>
    <row r="62" spans="1:23" s="10" customFormat="1" ht="15" customHeight="1" x14ac:dyDescent="0.2">
      <c r="A62" s="67"/>
      <c r="B62" s="82"/>
      <c r="C62" s="78">
        <v>2800</v>
      </c>
      <c r="D62" s="45" t="s">
        <v>35</v>
      </c>
      <c r="E62" s="46"/>
      <c r="F62" s="46"/>
      <c r="G62" s="71"/>
      <c r="H62" s="47"/>
      <c r="I62" s="162">
        <f t="shared" si="37"/>
        <v>1500000</v>
      </c>
      <c r="J62" s="163"/>
      <c r="K62" s="181">
        <f>SUM(P62,U62)</f>
        <v>1500000</v>
      </c>
      <c r="L62" s="312">
        <f>SUM(Q62,V62)</f>
        <v>1500000</v>
      </c>
      <c r="M62" s="302"/>
      <c r="N62" s="313"/>
      <c r="O62" s="188"/>
      <c r="P62" s="188"/>
      <c r="Q62" s="309"/>
      <c r="R62" s="225">
        <v>1500000</v>
      </c>
      <c r="S62" s="314"/>
      <c r="T62" s="315"/>
      <c r="U62" s="188">
        <f t="shared" ref="U62" si="39">SUM(R62-S62+T62)</f>
        <v>1500000</v>
      </c>
      <c r="V62" s="188">
        <v>1500000</v>
      </c>
      <c r="W62" s="281"/>
    </row>
    <row r="63" spans="1:23" s="10" customFormat="1" ht="15" hidden="1" customHeight="1" x14ac:dyDescent="0.2">
      <c r="A63" s="67"/>
      <c r="B63" s="82"/>
      <c r="C63" s="78">
        <v>6220</v>
      </c>
      <c r="D63" s="45" t="s">
        <v>35</v>
      </c>
      <c r="E63" s="46"/>
      <c r="F63" s="46"/>
      <c r="G63" s="71"/>
      <c r="H63" s="47"/>
      <c r="I63" s="162">
        <f t="shared" si="37"/>
        <v>0</v>
      </c>
      <c r="J63" s="163"/>
      <c r="K63" s="181">
        <f>SUM(P63,U63)</f>
        <v>0</v>
      </c>
      <c r="L63" s="312"/>
      <c r="M63" s="302"/>
      <c r="N63" s="313"/>
      <c r="O63" s="188"/>
      <c r="P63" s="188">
        <f t="shared" si="38"/>
        <v>0</v>
      </c>
      <c r="Q63" s="309"/>
      <c r="R63" s="225"/>
      <c r="S63" s="314"/>
      <c r="T63" s="315"/>
      <c r="U63" s="188">
        <f>SUM(R63-S63+T63)</f>
        <v>0</v>
      </c>
      <c r="V63" s="188"/>
      <c r="W63" s="281"/>
    </row>
    <row r="64" spans="1:23" s="10" customFormat="1" ht="4.5" customHeight="1" x14ac:dyDescent="0.2">
      <c r="A64" s="67"/>
      <c r="B64" s="82"/>
      <c r="C64" s="78"/>
      <c r="D64" s="45"/>
      <c r="E64" s="46"/>
      <c r="F64" s="46"/>
      <c r="G64" s="71"/>
      <c r="H64" s="47"/>
      <c r="I64" s="162"/>
      <c r="J64" s="163"/>
      <c r="K64" s="181"/>
      <c r="L64" s="312"/>
      <c r="M64" s="302"/>
      <c r="N64" s="313"/>
      <c r="O64" s="313"/>
      <c r="P64" s="298"/>
      <c r="Q64" s="309"/>
      <c r="R64" s="225"/>
      <c r="S64" s="314"/>
      <c r="T64" s="314"/>
      <c r="U64" s="188"/>
      <c r="V64" s="188"/>
      <c r="W64" s="281"/>
    </row>
    <row r="65" spans="1:23" s="10" customFormat="1" ht="15" customHeight="1" x14ac:dyDescent="0.2">
      <c r="A65" s="67"/>
      <c r="B65" s="75">
        <v>92109</v>
      </c>
      <c r="C65" s="76"/>
      <c r="D65" s="52" t="s">
        <v>5</v>
      </c>
      <c r="E65" s="53" t="s">
        <v>21</v>
      </c>
      <c r="F65" s="54">
        <f>SUM(F67)</f>
        <v>0</v>
      </c>
      <c r="G65" s="83">
        <f>SUM(G67)</f>
        <v>0</v>
      </c>
      <c r="H65" s="54">
        <f>SUM(H67)</f>
        <v>0</v>
      </c>
      <c r="I65" s="168">
        <f>SUM(I67)</f>
        <v>44569967</v>
      </c>
      <c r="J65" s="169">
        <v>0</v>
      </c>
      <c r="K65" s="189">
        <f>SUM(K67)</f>
        <v>59657179</v>
      </c>
      <c r="L65" s="316">
        <f>SUM(L67)</f>
        <v>59643908.369999997</v>
      </c>
      <c r="M65" s="310">
        <f t="shared" ref="M65:U65" si="40">SUM(M67)</f>
        <v>43834467</v>
      </c>
      <c r="N65" s="204">
        <f t="shared" si="40"/>
        <v>409324</v>
      </c>
      <c r="O65" s="204">
        <f t="shared" si="40"/>
        <v>15203196</v>
      </c>
      <c r="P65" s="188">
        <f t="shared" si="40"/>
        <v>58628339</v>
      </c>
      <c r="Q65" s="316">
        <f t="shared" ref="Q65" si="41">SUM(Q67)</f>
        <v>58628339</v>
      </c>
      <c r="R65" s="299">
        <f t="shared" si="40"/>
        <v>735500</v>
      </c>
      <c r="S65" s="204">
        <f t="shared" si="40"/>
        <v>135660</v>
      </c>
      <c r="T65" s="319">
        <f t="shared" si="40"/>
        <v>429000</v>
      </c>
      <c r="U65" s="204">
        <f t="shared" si="40"/>
        <v>1028840</v>
      </c>
      <c r="V65" s="204">
        <f t="shared" ref="V65" si="42">SUM(V67)</f>
        <v>1015569.37</v>
      </c>
      <c r="W65" s="281"/>
    </row>
    <row r="66" spans="1:23" s="10" customFormat="1" ht="15" customHeight="1" x14ac:dyDescent="0.2">
      <c r="A66" s="67"/>
      <c r="B66" s="77"/>
      <c r="C66" s="44"/>
      <c r="D66" s="45"/>
      <c r="E66" s="70" t="s">
        <v>22</v>
      </c>
      <c r="F66" s="46"/>
      <c r="G66" s="46"/>
      <c r="H66" s="46"/>
      <c r="I66" s="162"/>
      <c r="J66" s="163"/>
      <c r="K66" s="181"/>
      <c r="L66" s="312"/>
      <c r="M66" s="302"/>
      <c r="N66" s="188"/>
      <c r="O66" s="188"/>
      <c r="P66" s="188"/>
      <c r="Q66" s="188"/>
      <c r="R66" s="225"/>
      <c r="S66" s="314"/>
      <c r="T66" s="314"/>
      <c r="U66" s="188"/>
      <c r="V66" s="188"/>
      <c r="W66" s="281"/>
    </row>
    <row r="67" spans="1:23" s="10" customFormat="1" ht="14.25" customHeight="1" x14ac:dyDescent="0.2">
      <c r="A67" s="67"/>
      <c r="B67" s="77"/>
      <c r="C67" s="44"/>
      <c r="D67" s="45"/>
      <c r="E67" s="46" t="s">
        <v>1</v>
      </c>
      <c r="F67" s="46">
        <f>SUM(F68:F96)</f>
        <v>0</v>
      </c>
      <c r="G67" s="46">
        <f>SUM(G68:G96)</f>
        <v>0</v>
      </c>
      <c r="H67" s="46">
        <f>SUM(H68:H96)</f>
        <v>0</v>
      </c>
      <c r="I67" s="162">
        <f>SUM(I68:I96)</f>
        <v>44569967</v>
      </c>
      <c r="J67" s="163">
        <v>0</v>
      </c>
      <c r="K67" s="181">
        <f>SUM(K68:K96)</f>
        <v>59657179</v>
      </c>
      <c r="L67" s="312">
        <f>SUM(L68:L96)</f>
        <v>59643908.369999997</v>
      </c>
      <c r="M67" s="302">
        <f t="shared" ref="M67:U67" si="43">SUM(M68:M96)</f>
        <v>43834467</v>
      </c>
      <c r="N67" s="188">
        <f t="shared" si="43"/>
        <v>409324</v>
      </c>
      <c r="O67" s="188">
        <f t="shared" si="43"/>
        <v>15203196</v>
      </c>
      <c r="P67" s="188">
        <f t="shared" si="43"/>
        <v>58628339</v>
      </c>
      <c r="Q67" s="188">
        <f t="shared" ref="Q67" si="44">SUM(Q68:Q96)</f>
        <v>58628339</v>
      </c>
      <c r="R67" s="225">
        <f>SUM(R68:R96)</f>
        <v>735500</v>
      </c>
      <c r="S67" s="188">
        <f t="shared" si="43"/>
        <v>135660</v>
      </c>
      <c r="T67" s="320">
        <f t="shared" si="43"/>
        <v>429000</v>
      </c>
      <c r="U67" s="188">
        <f t="shared" si="43"/>
        <v>1028840</v>
      </c>
      <c r="V67" s="188">
        <f t="shared" ref="V67" si="45">SUM(V68:V96)</f>
        <v>1015569.37</v>
      </c>
      <c r="W67" s="281"/>
    </row>
    <row r="68" spans="1:23" s="10" customFormat="1" ht="15" customHeight="1" x14ac:dyDescent="0.2">
      <c r="A68" s="67"/>
      <c r="B68" s="77"/>
      <c r="C68" s="44">
        <v>2480</v>
      </c>
      <c r="D68" s="45" t="s">
        <v>36</v>
      </c>
      <c r="E68" s="46"/>
      <c r="F68" s="46"/>
      <c r="G68" s="71"/>
      <c r="H68" s="47"/>
      <c r="I68" s="162">
        <f t="shared" ref="I68:I96" si="46">SUM(M68,R68)</f>
        <v>8337900</v>
      </c>
      <c r="J68" s="163"/>
      <c r="K68" s="181">
        <f t="shared" ref="K68:K96" si="47">SUM(P68,U68)</f>
        <v>13105000</v>
      </c>
      <c r="L68" s="312">
        <f t="shared" ref="L68:L94" si="48">SUM(Q68,V68)</f>
        <v>13105000</v>
      </c>
      <c r="M68" s="302">
        <v>8337900</v>
      </c>
      <c r="N68" s="188"/>
      <c r="O68" s="188">
        <f>25000+20000+5000+99200+35000+52000+154323+180000+60000+724600+48000+27000+40000+48677+362300+10000+250000+950000+1080000+146000+450000</f>
        <v>4767100</v>
      </c>
      <c r="P68" s="188">
        <f t="shared" ref="P68:P96" si="49">SUM(M68-N68+O68)</f>
        <v>13105000</v>
      </c>
      <c r="Q68" s="309">
        <v>13105000</v>
      </c>
      <c r="R68" s="225"/>
      <c r="S68" s="314"/>
      <c r="T68" s="314"/>
      <c r="U68" s="188"/>
      <c r="V68" s="188"/>
      <c r="W68" s="281"/>
    </row>
    <row r="69" spans="1:23" s="10" customFormat="1" ht="15" hidden="1" customHeight="1" x14ac:dyDescent="0.2">
      <c r="A69" s="67"/>
      <c r="B69" s="77"/>
      <c r="C69" s="44">
        <v>2800</v>
      </c>
      <c r="D69" s="45" t="s">
        <v>36</v>
      </c>
      <c r="E69" s="46"/>
      <c r="F69" s="46"/>
      <c r="G69" s="71"/>
      <c r="H69" s="47"/>
      <c r="I69" s="162">
        <f t="shared" si="46"/>
        <v>0</v>
      </c>
      <c r="J69" s="163"/>
      <c r="K69" s="181">
        <f t="shared" si="47"/>
        <v>0</v>
      </c>
      <c r="L69" s="312">
        <f t="shared" si="48"/>
        <v>0</v>
      </c>
      <c r="M69" s="302"/>
      <c r="N69" s="188"/>
      <c r="O69" s="188"/>
      <c r="P69" s="188">
        <f t="shared" si="49"/>
        <v>0</v>
      </c>
      <c r="Q69" s="309"/>
      <c r="R69" s="225"/>
      <c r="S69" s="315"/>
      <c r="T69" s="315"/>
      <c r="U69" s="188">
        <f>SUM(R69-S69+T69)</f>
        <v>0</v>
      </c>
      <c r="V69" s="188"/>
      <c r="W69" s="281"/>
    </row>
    <row r="70" spans="1:23" s="10" customFormat="1" ht="15" customHeight="1" x14ac:dyDescent="0.2">
      <c r="A70" s="67"/>
      <c r="B70" s="77"/>
      <c r="C70" s="44">
        <v>6220</v>
      </c>
      <c r="D70" s="45" t="s">
        <v>36</v>
      </c>
      <c r="E70" s="46"/>
      <c r="F70" s="46"/>
      <c r="G70" s="71"/>
      <c r="H70" s="47"/>
      <c r="I70" s="162"/>
      <c r="J70" s="163"/>
      <c r="K70" s="181">
        <f t="shared" si="47"/>
        <v>35000</v>
      </c>
      <c r="L70" s="312">
        <f t="shared" si="48"/>
        <v>35000</v>
      </c>
      <c r="M70" s="302"/>
      <c r="N70" s="188"/>
      <c r="O70" s="188"/>
      <c r="P70" s="188"/>
      <c r="Q70" s="309"/>
      <c r="R70" s="225"/>
      <c r="S70" s="315"/>
      <c r="T70" s="315">
        <v>35000</v>
      </c>
      <c r="U70" s="188">
        <f>SUM(R70-S70+T70)</f>
        <v>35000</v>
      </c>
      <c r="V70" s="188">
        <v>35000</v>
      </c>
      <c r="W70" s="281"/>
    </row>
    <row r="71" spans="1:23" s="10" customFormat="1" ht="15" hidden="1" customHeight="1" x14ac:dyDescent="0.2">
      <c r="A71" s="67"/>
      <c r="B71" s="77"/>
      <c r="C71" s="44">
        <v>6227</v>
      </c>
      <c r="D71" s="45" t="s">
        <v>36</v>
      </c>
      <c r="E71" s="46"/>
      <c r="F71" s="46"/>
      <c r="G71" s="71"/>
      <c r="H71" s="47"/>
      <c r="I71" s="162">
        <f t="shared" si="46"/>
        <v>0</v>
      </c>
      <c r="J71" s="163"/>
      <c r="K71" s="181">
        <f t="shared" si="47"/>
        <v>0</v>
      </c>
      <c r="L71" s="312">
        <f t="shared" si="48"/>
        <v>0</v>
      </c>
      <c r="M71" s="302"/>
      <c r="N71" s="188"/>
      <c r="O71" s="188"/>
      <c r="P71" s="188">
        <f t="shared" si="49"/>
        <v>0</v>
      </c>
      <c r="Q71" s="309"/>
      <c r="R71" s="225"/>
      <c r="S71" s="315"/>
      <c r="T71" s="314"/>
      <c r="U71" s="188">
        <f>SUM(R71-S71+T71)</f>
        <v>0</v>
      </c>
      <c r="V71" s="188"/>
      <c r="W71" s="281"/>
    </row>
    <row r="72" spans="1:23" s="10" customFormat="1" ht="15" hidden="1" customHeight="1" x14ac:dyDescent="0.2">
      <c r="A72" s="67"/>
      <c r="B72" s="77"/>
      <c r="C72" s="44">
        <v>6229</v>
      </c>
      <c r="D72" s="45" t="s">
        <v>36</v>
      </c>
      <c r="E72" s="46"/>
      <c r="F72" s="46"/>
      <c r="G72" s="71"/>
      <c r="H72" s="47"/>
      <c r="I72" s="162">
        <f t="shared" si="46"/>
        <v>0</v>
      </c>
      <c r="J72" s="163"/>
      <c r="K72" s="181">
        <f t="shared" si="47"/>
        <v>0</v>
      </c>
      <c r="L72" s="312">
        <f t="shared" si="48"/>
        <v>0</v>
      </c>
      <c r="M72" s="302"/>
      <c r="N72" s="188"/>
      <c r="O72" s="188"/>
      <c r="P72" s="188">
        <f t="shared" si="49"/>
        <v>0</v>
      </c>
      <c r="Q72" s="309"/>
      <c r="R72" s="225"/>
      <c r="S72" s="315"/>
      <c r="T72" s="315"/>
      <c r="U72" s="188">
        <f t="shared" ref="U72:U77" si="50">SUM(R72-S72+T72)</f>
        <v>0</v>
      </c>
      <c r="V72" s="188"/>
      <c r="W72" s="281"/>
    </row>
    <row r="73" spans="1:23" s="10" customFormat="1" ht="15" customHeight="1" x14ac:dyDescent="0.2">
      <c r="A73" s="67"/>
      <c r="B73" s="77"/>
      <c r="C73" s="44">
        <v>2480</v>
      </c>
      <c r="D73" s="45" t="s">
        <v>37</v>
      </c>
      <c r="E73" s="46"/>
      <c r="F73" s="46"/>
      <c r="G73" s="71"/>
      <c r="H73" s="47"/>
      <c r="I73" s="162">
        <f t="shared" si="46"/>
        <v>5798653</v>
      </c>
      <c r="J73" s="163"/>
      <c r="K73" s="181">
        <f t="shared" si="47"/>
        <v>7572837</v>
      </c>
      <c r="L73" s="312">
        <f t="shared" si="48"/>
        <v>7572837</v>
      </c>
      <c r="M73" s="302">
        <v>5798653</v>
      </c>
      <c r="N73" s="188">
        <v>120000</v>
      </c>
      <c r="O73" s="188">
        <f>65000+104295+14300+35000+52000+4000+75000+5000+10000+10000+409600+12089+40000+207900+10000+270000+570000</f>
        <v>1894184</v>
      </c>
      <c r="P73" s="188">
        <f t="shared" si="49"/>
        <v>7572837</v>
      </c>
      <c r="Q73" s="309">
        <v>7572837</v>
      </c>
      <c r="R73" s="225"/>
      <c r="S73" s="314"/>
      <c r="T73" s="314"/>
      <c r="U73" s="188"/>
      <c r="V73" s="188"/>
      <c r="W73" s="281"/>
    </row>
    <row r="74" spans="1:23" s="10" customFormat="1" ht="15" hidden="1" customHeight="1" x14ac:dyDescent="0.2">
      <c r="A74" s="67"/>
      <c r="B74" s="77"/>
      <c r="C74" s="44">
        <v>2800</v>
      </c>
      <c r="D74" s="45" t="s">
        <v>37</v>
      </c>
      <c r="E74" s="46"/>
      <c r="F74" s="46"/>
      <c r="G74" s="71"/>
      <c r="H74" s="47"/>
      <c r="I74" s="162">
        <f t="shared" si="46"/>
        <v>0</v>
      </c>
      <c r="J74" s="163"/>
      <c r="K74" s="181">
        <f t="shared" si="47"/>
        <v>0</v>
      </c>
      <c r="L74" s="312">
        <f t="shared" si="48"/>
        <v>0</v>
      </c>
      <c r="M74" s="302"/>
      <c r="N74" s="188"/>
      <c r="O74" s="188"/>
      <c r="P74" s="188">
        <f t="shared" si="49"/>
        <v>0</v>
      </c>
      <c r="Q74" s="309"/>
      <c r="R74" s="225"/>
      <c r="S74" s="314"/>
      <c r="T74" s="314"/>
      <c r="U74" s="188">
        <f t="shared" ref="U74:U75" si="51">SUM(R74-S74+T74)</f>
        <v>0</v>
      </c>
      <c r="V74" s="188"/>
      <c r="W74" s="281"/>
    </row>
    <row r="75" spans="1:23" s="10" customFormat="1" ht="15" customHeight="1" x14ac:dyDescent="0.2">
      <c r="A75" s="67"/>
      <c r="B75" s="77"/>
      <c r="C75" s="44">
        <v>6220</v>
      </c>
      <c r="D75" s="45" t="s">
        <v>37</v>
      </c>
      <c r="E75" s="46"/>
      <c r="F75" s="46"/>
      <c r="G75" s="71"/>
      <c r="H75" s="47"/>
      <c r="I75" s="162">
        <f t="shared" si="46"/>
        <v>265500</v>
      </c>
      <c r="J75" s="163"/>
      <c r="K75" s="181">
        <f t="shared" si="47"/>
        <v>385500</v>
      </c>
      <c r="L75" s="312">
        <f t="shared" si="48"/>
        <v>379778.05</v>
      </c>
      <c r="M75" s="302"/>
      <c r="N75" s="188"/>
      <c r="O75" s="188"/>
      <c r="P75" s="188"/>
      <c r="Q75" s="309"/>
      <c r="R75" s="225">
        <v>265500</v>
      </c>
      <c r="S75" s="315"/>
      <c r="T75" s="315">
        <v>120000</v>
      </c>
      <c r="U75" s="188">
        <f t="shared" si="51"/>
        <v>385500</v>
      </c>
      <c r="V75" s="188">
        <v>379778.05</v>
      </c>
      <c r="W75" s="281"/>
    </row>
    <row r="76" spans="1:23" s="10" customFormat="1" ht="15" hidden="1" customHeight="1" x14ac:dyDescent="0.2">
      <c r="A76" s="67"/>
      <c r="B76" s="77"/>
      <c r="C76" s="44">
        <v>6227</v>
      </c>
      <c r="D76" s="45" t="s">
        <v>37</v>
      </c>
      <c r="E76" s="46"/>
      <c r="F76" s="46"/>
      <c r="G76" s="71"/>
      <c r="H76" s="47"/>
      <c r="I76" s="162">
        <f t="shared" si="46"/>
        <v>0</v>
      </c>
      <c r="J76" s="163"/>
      <c r="K76" s="181">
        <f t="shared" si="47"/>
        <v>0</v>
      </c>
      <c r="L76" s="312">
        <f t="shared" si="48"/>
        <v>0</v>
      </c>
      <c r="M76" s="302"/>
      <c r="N76" s="188"/>
      <c r="O76" s="188"/>
      <c r="P76" s="188">
        <f t="shared" si="49"/>
        <v>0</v>
      </c>
      <c r="Q76" s="309"/>
      <c r="R76" s="225"/>
      <c r="S76" s="315"/>
      <c r="T76" s="314"/>
      <c r="U76" s="188">
        <f t="shared" si="50"/>
        <v>0</v>
      </c>
      <c r="V76" s="188"/>
      <c r="W76" s="281"/>
    </row>
    <row r="77" spans="1:23" s="10" customFormat="1" ht="15" hidden="1" customHeight="1" x14ac:dyDescent="0.2">
      <c r="A77" s="67"/>
      <c r="B77" s="77"/>
      <c r="C77" s="44">
        <v>6229</v>
      </c>
      <c r="D77" s="45" t="s">
        <v>37</v>
      </c>
      <c r="E77" s="46"/>
      <c r="F77" s="46"/>
      <c r="G77" s="71"/>
      <c r="H77" s="47"/>
      <c r="I77" s="162">
        <f t="shared" si="46"/>
        <v>0</v>
      </c>
      <c r="J77" s="163"/>
      <c r="K77" s="181">
        <f t="shared" si="47"/>
        <v>0</v>
      </c>
      <c r="L77" s="312">
        <f t="shared" si="48"/>
        <v>0</v>
      </c>
      <c r="M77" s="302"/>
      <c r="N77" s="188"/>
      <c r="O77" s="188"/>
      <c r="P77" s="188">
        <f t="shared" si="49"/>
        <v>0</v>
      </c>
      <c r="Q77" s="309"/>
      <c r="R77" s="225"/>
      <c r="S77" s="315"/>
      <c r="T77" s="314"/>
      <c r="U77" s="188">
        <f t="shared" si="50"/>
        <v>0</v>
      </c>
      <c r="V77" s="188"/>
      <c r="W77" s="281"/>
    </row>
    <row r="78" spans="1:23" s="10" customFormat="1" ht="15" hidden="1" customHeight="1" x14ac:dyDescent="0.2">
      <c r="A78" s="67"/>
      <c r="B78" s="77"/>
      <c r="C78" s="44">
        <v>6560</v>
      </c>
      <c r="D78" s="45" t="s">
        <v>37</v>
      </c>
      <c r="E78" s="46"/>
      <c r="F78" s="46"/>
      <c r="G78" s="71"/>
      <c r="H78" s="47"/>
      <c r="I78" s="162">
        <f t="shared" si="46"/>
        <v>0</v>
      </c>
      <c r="J78" s="163"/>
      <c r="K78" s="181">
        <f t="shared" si="47"/>
        <v>0</v>
      </c>
      <c r="L78" s="312">
        <f t="shared" si="48"/>
        <v>0</v>
      </c>
      <c r="M78" s="302"/>
      <c r="N78" s="188"/>
      <c r="O78" s="188"/>
      <c r="P78" s="188">
        <f t="shared" si="49"/>
        <v>0</v>
      </c>
      <c r="Q78" s="309"/>
      <c r="R78" s="225"/>
      <c r="S78" s="315"/>
      <c r="T78" s="314"/>
      <c r="U78" s="188">
        <f t="shared" ref="U78:U95" si="52">SUM(R78-S78+T78)</f>
        <v>0</v>
      </c>
      <c r="V78" s="188"/>
      <c r="W78" s="281"/>
    </row>
    <row r="79" spans="1:23" s="10" customFormat="1" ht="15" hidden="1" customHeight="1" x14ac:dyDescent="0.2">
      <c r="A79" s="67"/>
      <c r="B79" s="77"/>
      <c r="C79" s="44">
        <v>6567</v>
      </c>
      <c r="D79" s="45" t="s">
        <v>37</v>
      </c>
      <c r="E79" s="46"/>
      <c r="F79" s="46"/>
      <c r="G79" s="71"/>
      <c r="H79" s="47"/>
      <c r="I79" s="162">
        <f t="shared" si="46"/>
        <v>0</v>
      </c>
      <c r="J79" s="163"/>
      <c r="K79" s="181">
        <f t="shared" si="47"/>
        <v>0</v>
      </c>
      <c r="L79" s="312">
        <f t="shared" si="48"/>
        <v>0</v>
      </c>
      <c r="M79" s="302"/>
      <c r="N79" s="188"/>
      <c r="O79" s="188"/>
      <c r="P79" s="188">
        <f t="shared" si="49"/>
        <v>0</v>
      </c>
      <c r="Q79" s="309"/>
      <c r="R79" s="225"/>
      <c r="S79" s="315"/>
      <c r="T79" s="315"/>
      <c r="U79" s="188">
        <f t="shared" si="52"/>
        <v>0</v>
      </c>
      <c r="V79" s="188"/>
      <c r="W79" s="281"/>
    </row>
    <row r="80" spans="1:23" s="10" customFormat="1" ht="15" hidden="1" customHeight="1" x14ac:dyDescent="0.2">
      <c r="A80" s="67"/>
      <c r="B80" s="77"/>
      <c r="C80" s="44">
        <v>6569</v>
      </c>
      <c r="D80" s="45" t="s">
        <v>37</v>
      </c>
      <c r="E80" s="46"/>
      <c r="F80" s="46"/>
      <c r="G80" s="71"/>
      <c r="H80" s="47"/>
      <c r="I80" s="162">
        <f t="shared" si="46"/>
        <v>0</v>
      </c>
      <c r="J80" s="163"/>
      <c r="K80" s="181">
        <f t="shared" si="47"/>
        <v>0</v>
      </c>
      <c r="L80" s="312">
        <f t="shared" si="48"/>
        <v>0</v>
      </c>
      <c r="M80" s="302"/>
      <c r="N80" s="188"/>
      <c r="O80" s="188"/>
      <c r="P80" s="188">
        <f t="shared" si="49"/>
        <v>0</v>
      </c>
      <c r="Q80" s="309"/>
      <c r="R80" s="225"/>
      <c r="S80" s="315"/>
      <c r="T80" s="315"/>
      <c r="U80" s="188">
        <f t="shared" si="52"/>
        <v>0</v>
      </c>
      <c r="V80" s="188"/>
      <c r="W80" s="281"/>
    </row>
    <row r="81" spans="1:23" s="10" customFormat="1" ht="15" customHeight="1" x14ac:dyDescent="0.2">
      <c r="A81" s="67"/>
      <c r="B81" s="77"/>
      <c r="C81" s="44">
        <v>2480</v>
      </c>
      <c r="D81" s="45" t="s">
        <v>73</v>
      </c>
      <c r="E81" s="46"/>
      <c r="F81" s="46"/>
      <c r="G81" s="71"/>
      <c r="H81" s="47"/>
      <c r="I81" s="162">
        <f t="shared" si="46"/>
        <v>12030520</v>
      </c>
      <c r="J81" s="163"/>
      <c r="K81" s="181">
        <f t="shared" si="47"/>
        <v>16446320</v>
      </c>
      <c r="L81" s="312">
        <f t="shared" si="48"/>
        <v>16446320</v>
      </c>
      <c r="M81" s="302">
        <v>12030520</v>
      </c>
      <c r="N81" s="188">
        <f>7000+35000</f>
        <v>42000</v>
      </c>
      <c r="O81" s="188">
        <f>3200+130000+21000+77100+7915+126553+94670+20000+6000+10000+45000+569700+27000+10000+12000+25000+1130300+39000+334900+31500+550000+13962+500000+50000+623000</f>
        <v>4457800</v>
      </c>
      <c r="P81" s="188">
        <f t="shared" si="49"/>
        <v>16446320</v>
      </c>
      <c r="Q81" s="309">
        <v>16446320</v>
      </c>
      <c r="R81" s="225"/>
      <c r="S81" s="314"/>
      <c r="T81" s="314"/>
      <c r="U81" s="188"/>
      <c r="V81" s="188"/>
      <c r="W81" s="281"/>
    </row>
    <row r="82" spans="1:23" s="10" customFormat="1" ht="15" hidden="1" customHeight="1" x14ac:dyDescent="0.2">
      <c r="A82" s="67"/>
      <c r="B82" s="77"/>
      <c r="C82" s="44">
        <v>2800</v>
      </c>
      <c r="D82" s="45" t="s">
        <v>73</v>
      </c>
      <c r="E82" s="46"/>
      <c r="F82" s="46"/>
      <c r="G82" s="71"/>
      <c r="H82" s="47"/>
      <c r="I82" s="162">
        <f t="shared" si="46"/>
        <v>0</v>
      </c>
      <c r="J82" s="163"/>
      <c r="K82" s="181">
        <f t="shared" si="47"/>
        <v>0</v>
      </c>
      <c r="L82" s="312">
        <f t="shared" si="48"/>
        <v>0</v>
      </c>
      <c r="M82" s="302"/>
      <c r="N82" s="188"/>
      <c r="O82" s="188"/>
      <c r="P82" s="188">
        <f t="shared" si="49"/>
        <v>0</v>
      </c>
      <c r="Q82" s="309"/>
      <c r="R82" s="225"/>
      <c r="S82" s="314"/>
      <c r="T82" s="315"/>
      <c r="U82" s="188">
        <f t="shared" si="52"/>
        <v>0</v>
      </c>
      <c r="V82" s="188"/>
      <c r="W82" s="281"/>
    </row>
    <row r="83" spans="1:23" s="10" customFormat="1" ht="15" customHeight="1" x14ac:dyDescent="0.2">
      <c r="A83" s="67"/>
      <c r="B83" s="77"/>
      <c r="C83" s="44">
        <v>6220</v>
      </c>
      <c r="D83" s="45" t="s">
        <v>73</v>
      </c>
      <c r="E83" s="46"/>
      <c r="F83" s="46"/>
      <c r="G83" s="71"/>
      <c r="H83" s="47"/>
      <c r="I83" s="162">
        <f t="shared" si="46"/>
        <v>130000</v>
      </c>
      <c r="J83" s="163"/>
      <c r="K83" s="181">
        <f t="shared" si="47"/>
        <v>250000</v>
      </c>
      <c r="L83" s="312">
        <f t="shared" si="48"/>
        <v>244795.04</v>
      </c>
      <c r="M83" s="302"/>
      <c r="N83" s="188"/>
      <c r="O83" s="188"/>
      <c r="P83" s="188"/>
      <c r="Q83" s="309"/>
      <c r="R83" s="225">
        <v>130000</v>
      </c>
      <c r="S83" s="315">
        <v>130000</v>
      </c>
      <c r="T83" s="315">
        <f>35000+215000</f>
        <v>250000</v>
      </c>
      <c r="U83" s="188">
        <f t="shared" si="52"/>
        <v>250000</v>
      </c>
      <c r="V83" s="188">
        <v>244795.04</v>
      </c>
      <c r="W83" s="281"/>
    </row>
    <row r="84" spans="1:23" s="10" customFormat="1" ht="15" hidden="1" customHeight="1" x14ac:dyDescent="0.2">
      <c r="A84" s="67"/>
      <c r="B84" s="77"/>
      <c r="C84" s="44">
        <v>6560</v>
      </c>
      <c r="D84" s="45" t="s">
        <v>73</v>
      </c>
      <c r="E84" s="46"/>
      <c r="F84" s="46"/>
      <c r="G84" s="71"/>
      <c r="H84" s="47"/>
      <c r="I84" s="162"/>
      <c r="J84" s="163"/>
      <c r="K84" s="181">
        <f t="shared" si="47"/>
        <v>0</v>
      </c>
      <c r="L84" s="312">
        <f t="shared" si="48"/>
        <v>0</v>
      </c>
      <c r="M84" s="302"/>
      <c r="N84" s="188"/>
      <c r="O84" s="188"/>
      <c r="P84" s="188">
        <f t="shared" si="49"/>
        <v>0</v>
      </c>
      <c r="Q84" s="309"/>
      <c r="R84" s="225"/>
      <c r="S84" s="315"/>
      <c r="T84" s="315"/>
      <c r="U84" s="188">
        <f t="shared" ref="U84" si="53">SUM(R84-S84+T84)</f>
        <v>0</v>
      </c>
      <c r="V84" s="188"/>
      <c r="W84" s="281"/>
    </row>
    <row r="85" spans="1:23" s="10" customFormat="1" ht="15" customHeight="1" x14ac:dyDescent="0.2">
      <c r="A85" s="67"/>
      <c r="B85" s="77"/>
      <c r="C85" s="44">
        <v>2480</v>
      </c>
      <c r="D85" s="45" t="s">
        <v>74</v>
      </c>
      <c r="E85" s="46"/>
      <c r="F85" s="46"/>
      <c r="G85" s="71"/>
      <c r="H85" s="47"/>
      <c r="I85" s="162">
        <f t="shared" si="46"/>
        <v>3756200</v>
      </c>
      <c r="J85" s="163"/>
      <c r="K85" s="181">
        <f t="shared" si="47"/>
        <v>4988000</v>
      </c>
      <c r="L85" s="312">
        <f t="shared" si="48"/>
        <v>4988000</v>
      </c>
      <c r="M85" s="302">
        <v>3756200</v>
      </c>
      <c r="N85" s="188"/>
      <c r="O85" s="188">
        <f>30000+15400+5000+400000+15000+206600+73000+73800+160000+253000</f>
        <v>1231800</v>
      </c>
      <c r="P85" s="188">
        <f t="shared" si="49"/>
        <v>4988000</v>
      </c>
      <c r="Q85" s="309">
        <v>4988000</v>
      </c>
      <c r="R85" s="225"/>
      <c r="S85" s="314"/>
      <c r="T85" s="314"/>
      <c r="U85" s="188"/>
      <c r="V85" s="188"/>
      <c r="W85" s="281"/>
    </row>
    <row r="86" spans="1:23" s="10" customFormat="1" ht="15" hidden="1" customHeight="1" x14ac:dyDescent="0.2">
      <c r="A86" s="67"/>
      <c r="B86" s="77"/>
      <c r="C86" s="44">
        <v>2800</v>
      </c>
      <c r="D86" s="45" t="s">
        <v>74</v>
      </c>
      <c r="E86" s="46"/>
      <c r="F86" s="46"/>
      <c r="G86" s="71"/>
      <c r="H86" s="47"/>
      <c r="I86" s="162">
        <f t="shared" si="46"/>
        <v>0</v>
      </c>
      <c r="J86" s="163"/>
      <c r="K86" s="181">
        <f t="shared" si="47"/>
        <v>0</v>
      </c>
      <c r="L86" s="312">
        <f t="shared" si="48"/>
        <v>0</v>
      </c>
      <c r="M86" s="302"/>
      <c r="N86" s="188"/>
      <c r="O86" s="188"/>
      <c r="P86" s="188">
        <f t="shared" si="49"/>
        <v>0</v>
      </c>
      <c r="Q86" s="309"/>
      <c r="R86" s="225"/>
      <c r="S86" s="314"/>
      <c r="T86" s="314"/>
      <c r="U86" s="188"/>
      <c r="V86" s="188"/>
      <c r="W86" s="281"/>
    </row>
    <row r="87" spans="1:23" s="10" customFormat="1" ht="15" hidden="1" customHeight="1" x14ac:dyDescent="0.2">
      <c r="A87" s="67"/>
      <c r="B87" s="77"/>
      <c r="C87" s="44">
        <v>6220</v>
      </c>
      <c r="D87" s="45" t="s">
        <v>74</v>
      </c>
      <c r="E87" s="46"/>
      <c r="F87" s="46"/>
      <c r="G87" s="71"/>
      <c r="H87" s="47"/>
      <c r="I87" s="162">
        <f t="shared" si="46"/>
        <v>0</v>
      </c>
      <c r="J87" s="163"/>
      <c r="K87" s="181">
        <f t="shared" si="47"/>
        <v>0</v>
      </c>
      <c r="L87" s="312">
        <f t="shared" si="48"/>
        <v>0</v>
      </c>
      <c r="M87" s="302"/>
      <c r="N87" s="188"/>
      <c r="O87" s="188"/>
      <c r="P87" s="188">
        <f t="shared" si="49"/>
        <v>0</v>
      </c>
      <c r="Q87" s="309"/>
      <c r="R87" s="225"/>
      <c r="S87" s="315"/>
      <c r="T87" s="315"/>
      <c r="U87" s="188"/>
      <c r="V87" s="188"/>
      <c r="W87" s="281"/>
    </row>
    <row r="88" spans="1:23" s="10" customFormat="1" ht="15" hidden="1" customHeight="1" x14ac:dyDescent="0.2">
      <c r="A88" s="67"/>
      <c r="B88" s="77"/>
      <c r="C88" s="44">
        <v>6560</v>
      </c>
      <c r="D88" s="45" t="s">
        <v>74</v>
      </c>
      <c r="E88" s="46"/>
      <c r="F88" s="46"/>
      <c r="G88" s="71"/>
      <c r="H88" s="47"/>
      <c r="I88" s="162"/>
      <c r="J88" s="163"/>
      <c r="K88" s="181">
        <f t="shared" si="47"/>
        <v>0</v>
      </c>
      <c r="L88" s="312">
        <f t="shared" si="48"/>
        <v>0</v>
      </c>
      <c r="M88" s="302"/>
      <c r="N88" s="188"/>
      <c r="O88" s="188"/>
      <c r="P88" s="188">
        <f t="shared" si="49"/>
        <v>0</v>
      </c>
      <c r="Q88" s="309"/>
      <c r="R88" s="225"/>
      <c r="S88" s="315"/>
      <c r="T88" s="315"/>
      <c r="U88" s="188"/>
      <c r="V88" s="188"/>
      <c r="W88" s="281"/>
    </row>
    <row r="89" spans="1:23" s="10" customFormat="1" ht="15" customHeight="1" x14ac:dyDescent="0.2">
      <c r="A89" s="67"/>
      <c r="B89" s="77"/>
      <c r="C89" s="44">
        <v>2480</v>
      </c>
      <c r="D89" s="45" t="s">
        <v>38</v>
      </c>
      <c r="E89" s="46"/>
      <c r="F89" s="46"/>
      <c r="G89" s="71"/>
      <c r="H89" s="47"/>
      <c r="I89" s="162">
        <f>SUM(M89,R89)</f>
        <v>6898230</v>
      </c>
      <c r="J89" s="163"/>
      <c r="K89" s="181">
        <f t="shared" si="47"/>
        <v>8006355</v>
      </c>
      <c r="L89" s="312">
        <f t="shared" si="48"/>
        <v>8006355</v>
      </c>
      <c r="M89" s="302">
        <v>6898230</v>
      </c>
      <c r="N89" s="188">
        <f>57000+20000+54677+34647+10000</f>
        <v>176324</v>
      </c>
      <c r="O89" s="188">
        <f>18500+15400+4000+3000+21800+29059+5000+3000+23370+338600+15000+10000+192900+11560+6600+270000+250000+5000+56000+5660</f>
        <v>1284449</v>
      </c>
      <c r="P89" s="188">
        <f t="shared" si="49"/>
        <v>8006355</v>
      </c>
      <c r="Q89" s="309">
        <v>8006355</v>
      </c>
      <c r="R89" s="225"/>
      <c r="S89" s="314"/>
      <c r="T89" s="314"/>
      <c r="U89" s="188"/>
      <c r="V89" s="188"/>
      <c r="W89" s="281"/>
    </row>
    <row r="90" spans="1:23" s="10" customFormat="1" ht="15" customHeight="1" x14ac:dyDescent="0.2">
      <c r="A90" s="67"/>
      <c r="B90" s="77"/>
      <c r="C90" s="44">
        <v>6220</v>
      </c>
      <c r="D90" s="45" t="s">
        <v>38</v>
      </c>
      <c r="E90" s="46"/>
      <c r="F90" s="46"/>
      <c r="G90" s="71"/>
      <c r="H90" s="47"/>
      <c r="I90" s="162">
        <f>SUM(M90,R90)</f>
        <v>340000</v>
      </c>
      <c r="J90" s="163"/>
      <c r="K90" s="181">
        <f t="shared" si="47"/>
        <v>358340</v>
      </c>
      <c r="L90" s="312">
        <f t="shared" si="48"/>
        <v>355996.28</v>
      </c>
      <c r="M90" s="302"/>
      <c r="N90" s="188"/>
      <c r="O90" s="188"/>
      <c r="P90" s="188"/>
      <c r="Q90" s="309"/>
      <c r="R90" s="225">
        <v>340000</v>
      </c>
      <c r="S90" s="314">
        <v>5660</v>
      </c>
      <c r="T90" s="315">
        <v>24000</v>
      </c>
      <c r="U90" s="188">
        <f t="shared" si="52"/>
        <v>358340</v>
      </c>
      <c r="V90" s="188">
        <v>355996.28</v>
      </c>
      <c r="W90" s="281"/>
    </row>
    <row r="91" spans="1:23" s="10" customFormat="1" ht="15" customHeight="1" x14ac:dyDescent="0.2">
      <c r="A91" s="67"/>
      <c r="B91" s="82"/>
      <c r="C91" s="44">
        <v>2480</v>
      </c>
      <c r="D91" s="45" t="s">
        <v>80</v>
      </c>
      <c r="E91" s="46"/>
      <c r="F91" s="46"/>
      <c r="G91" s="71"/>
      <c r="H91" s="47"/>
      <c r="I91" s="162">
        <f t="shared" si="46"/>
        <v>1091200</v>
      </c>
      <c r="J91" s="163"/>
      <c r="K91" s="181">
        <f t="shared" si="47"/>
        <v>1162300</v>
      </c>
      <c r="L91" s="312">
        <f t="shared" si="48"/>
        <v>1162300</v>
      </c>
      <c r="M91" s="302">
        <v>1091200</v>
      </c>
      <c r="N91" s="188"/>
      <c r="O91" s="188">
        <f>8900+20000+5200+30000+7000</f>
        <v>71100</v>
      </c>
      <c r="P91" s="188">
        <f t="shared" si="49"/>
        <v>1162300</v>
      </c>
      <c r="Q91" s="309">
        <v>1162300</v>
      </c>
      <c r="R91" s="225"/>
      <c r="S91" s="314"/>
      <c r="T91" s="314"/>
      <c r="U91" s="188"/>
      <c r="V91" s="188"/>
      <c r="W91" s="281"/>
    </row>
    <row r="92" spans="1:23" s="10" customFormat="1" ht="15" customHeight="1" x14ac:dyDescent="0.2">
      <c r="A92" s="67"/>
      <c r="B92" s="77"/>
      <c r="C92" s="44">
        <v>2480</v>
      </c>
      <c r="D92" s="45" t="s">
        <v>40</v>
      </c>
      <c r="E92" s="46"/>
      <c r="F92" s="46"/>
      <c r="G92" s="71"/>
      <c r="H92" s="47"/>
      <c r="I92" s="162">
        <f t="shared" si="46"/>
        <v>1364300</v>
      </c>
      <c r="J92" s="163"/>
      <c r="K92" s="181">
        <f t="shared" si="47"/>
        <v>1518400</v>
      </c>
      <c r="L92" s="312">
        <f t="shared" si="48"/>
        <v>1518400</v>
      </c>
      <c r="M92" s="302">
        <v>1364300</v>
      </c>
      <c r="N92" s="188"/>
      <c r="O92" s="188">
        <f>63500+1500+19100+70000</f>
        <v>154100</v>
      </c>
      <c r="P92" s="188">
        <f t="shared" si="49"/>
        <v>1518400</v>
      </c>
      <c r="Q92" s="309">
        <v>1518400</v>
      </c>
      <c r="R92" s="225"/>
      <c r="S92" s="314"/>
      <c r="T92" s="314"/>
      <c r="U92" s="188"/>
      <c r="V92" s="188"/>
      <c r="W92" s="281"/>
    </row>
    <row r="93" spans="1:23" s="10" customFormat="1" ht="15" hidden="1" customHeight="1" x14ac:dyDescent="0.2">
      <c r="A93" s="67"/>
      <c r="B93" s="77"/>
      <c r="C93" s="44">
        <v>2800</v>
      </c>
      <c r="D93" s="45" t="s">
        <v>40</v>
      </c>
      <c r="E93" s="46"/>
      <c r="F93" s="46"/>
      <c r="G93" s="71"/>
      <c r="H93" s="47"/>
      <c r="I93" s="162">
        <f t="shared" si="46"/>
        <v>0</v>
      </c>
      <c r="J93" s="163"/>
      <c r="K93" s="181">
        <f t="shared" si="47"/>
        <v>0</v>
      </c>
      <c r="L93" s="312">
        <f t="shared" si="48"/>
        <v>0</v>
      </c>
      <c r="M93" s="302"/>
      <c r="N93" s="188"/>
      <c r="O93" s="188"/>
      <c r="P93" s="188">
        <f t="shared" si="49"/>
        <v>0</v>
      </c>
      <c r="Q93" s="309"/>
      <c r="R93" s="225"/>
      <c r="S93" s="314"/>
      <c r="T93" s="314"/>
      <c r="U93" s="188"/>
      <c r="V93" s="188"/>
      <c r="W93" s="281"/>
    </row>
    <row r="94" spans="1:23" s="10" customFormat="1" ht="15" customHeight="1" x14ac:dyDescent="0.2">
      <c r="A94" s="67"/>
      <c r="B94" s="77"/>
      <c r="C94" s="44">
        <v>2480</v>
      </c>
      <c r="D94" s="45" t="s">
        <v>39</v>
      </c>
      <c r="E94" s="46"/>
      <c r="F94" s="46"/>
      <c r="G94" s="71"/>
      <c r="H94" s="47"/>
      <c r="I94" s="162">
        <f t="shared" si="46"/>
        <v>4557464</v>
      </c>
      <c r="J94" s="163"/>
      <c r="K94" s="181">
        <f t="shared" si="47"/>
        <v>5829127</v>
      </c>
      <c r="L94" s="312">
        <f t="shared" si="48"/>
        <v>5829127</v>
      </c>
      <c r="M94" s="302">
        <v>4557464</v>
      </c>
      <c r="N94" s="188">
        <f>10000+23000+3000+17000+18000</f>
        <v>71000</v>
      </c>
      <c r="O94" s="188">
        <f>5000+10000+16800+29000+42000+71593+31120+19000+100000+5500+7650+318200+27700+6000+159100+20000+200000+20000+250000+4000</f>
        <v>1342663</v>
      </c>
      <c r="P94" s="188">
        <f t="shared" si="49"/>
        <v>5829127</v>
      </c>
      <c r="Q94" s="309">
        <v>5829127</v>
      </c>
      <c r="R94" s="225"/>
      <c r="S94" s="314"/>
      <c r="T94" s="314"/>
      <c r="U94" s="188"/>
      <c r="V94" s="188"/>
      <c r="W94" s="281"/>
    </row>
    <row r="95" spans="1:23" s="10" customFormat="1" ht="15" hidden="1" customHeight="1" x14ac:dyDescent="0.2">
      <c r="A95" s="67"/>
      <c r="B95" s="77"/>
      <c r="C95" s="44">
        <v>2800</v>
      </c>
      <c r="D95" s="45" t="s">
        <v>39</v>
      </c>
      <c r="E95" s="46"/>
      <c r="F95" s="46"/>
      <c r="G95" s="71"/>
      <c r="H95" s="47"/>
      <c r="I95" s="162"/>
      <c r="J95" s="163"/>
      <c r="K95" s="181">
        <f t="shared" si="47"/>
        <v>0</v>
      </c>
      <c r="L95" s="312"/>
      <c r="M95" s="302"/>
      <c r="N95" s="188"/>
      <c r="O95" s="188"/>
      <c r="P95" s="188">
        <f t="shared" si="49"/>
        <v>0</v>
      </c>
      <c r="Q95" s="309"/>
      <c r="R95" s="225"/>
      <c r="S95" s="314"/>
      <c r="T95" s="314"/>
      <c r="U95" s="188">
        <f t="shared" si="52"/>
        <v>0</v>
      </c>
      <c r="V95" s="188"/>
      <c r="W95" s="281"/>
    </row>
    <row r="96" spans="1:23" s="10" customFormat="1" ht="15" hidden="1" customHeight="1" x14ac:dyDescent="0.2">
      <c r="A96" s="67"/>
      <c r="B96" s="77"/>
      <c r="C96" s="44">
        <v>6220</v>
      </c>
      <c r="D96" s="45" t="s">
        <v>39</v>
      </c>
      <c r="E96" s="46"/>
      <c r="F96" s="46"/>
      <c r="G96" s="71"/>
      <c r="H96" s="47"/>
      <c r="I96" s="162">
        <f t="shared" si="46"/>
        <v>0</v>
      </c>
      <c r="J96" s="163"/>
      <c r="K96" s="181">
        <f t="shared" si="47"/>
        <v>0</v>
      </c>
      <c r="L96" s="312"/>
      <c r="M96" s="302"/>
      <c r="N96" s="188"/>
      <c r="O96" s="188"/>
      <c r="P96" s="188">
        <f t="shared" si="49"/>
        <v>0</v>
      </c>
      <c r="Q96" s="309"/>
      <c r="R96" s="225"/>
      <c r="S96" s="314"/>
      <c r="T96" s="315"/>
      <c r="U96" s="188">
        <f>SUM(R96-S96+T96)</f>
        <v>0</v>
      </c>
      <c r="V96" s="188"/>
      <c r="W96" s="281"/>
    </row>
    <row r="97" spans="1:23" s="10" customFormat="1" ht="15" customHeight="1" x14ac:dyDescent="0.2">
      <c r="A97" s="67"/>
      <c r="B97" s="50">
        <v>92110</v>
      </c>
      <c r="C97" s="51"/>
      <c r="D97" s="52" t="s">
        <v>6</v>
      </c>
      <c r="E97" s="53" t="s">
        <v>21</v>
      </c>
      <c r="F97" s="54">
        <f>SUM(F99)</f>
        <v>0</v>
      </c>
      <c r="G97" s="83">
        <f>SUM(G99)</f>
        <v>0</v>
      </c>
      <c r="H97" s="54">
        <f>SUM(H99)</f>
        <v>0</v>
      </c>
      <c r="I97" s="168">
        <f>SUM(I99)</f>
        <v>11333690</v>
      </c>
      <c r="J97" s="169">
        <v>0</v>
      </c>
      <c r="K97" s="189">
        <f>SUM(K99)</f>
        <v>11503490</v>
      </c>
      <c r="L97" s="316">
        <f>SUM(L99)</f>
        <v>11503490</v>
      </c>
      <c r="M97" s="310">
        <f t="shared" ref="M97:U97" si="54">SUM(M99)</f>
        <v>3333690</v>
      </c>
      <c r="N97" s="204">
        <f t="shared" si="54"/>
        <v>0</v>
      </c>
      <c r="O97" s="204">
        <f t="shared" si="54"/>
        <v>619800</v>
      </c>
      <c r="P97" s="204">
        <f t="shared" si="54"/>
        <v>3953490</v>
      </c>
      <c r="Q97" s="316">
        <f t="shared" ref="Q97" si="55">SUM(Q99)</f>
        <v>3953490</v>
      </c>
      <c r="R97" s="299">
        <f t="shared" si="54"/>
        <v>8000000</v>
      </c>
      <c r="S97" s="318">
        <f t="shared" si="54"/>
        <v>450000</v>
      </c>
      <c r="T97" s="318">
        <f t="shared" si="54"/>
        <v>0</v>
      </c>
      <c r="U97" s="204">
        <f t="shared" si="54"/>
        <v>7550000</v>
      </c>
      <c r="V97" s="204">
        <f t="shared" ref="V97" si="56">SUM(V99)</f>
        <v>7550000</v>
      </c>
      <c r="W97" s="281"/>
    </row>
    <row r="98" spans="1:23" s="10" customFormat="1" ht="12.75" customHeight="1" x14ac:dyDescent="0.2">
      <c r="A98" s="67"/>
      <c r="B98" s="48"/>
      <c r="C98" s="39"/>
      <c r="D98" s="40"/>
      <c r="E98" s="70" t="s">
        <v>22</v>
      </c>
      <c r="F98" s="46"/>
      <c r="G98" s="46"/>
      <c r="H98" s="46"/>
      <c r="I98" s="162"/>
      <c r="J98" s="163"/>
      <c r="K98" s="181"/>
      <c r="L98" s="312"/>
      <c r="M98" s="302"/>
      <c r="N98" s="188"/>
      <c r="O98" s="188"/>
      <c r="P98" s="188"/>
      <c r="Q98" s="188"/>
      <c r="R98" s="225"/>
      <c r="S98" s="315"/>
      <c r="T98" s="315"/>
      <c r="U98" s="188"/>
      <c r="V98" s="188"/>
      <c r="W98" s="281"/>
    </row>
    <row r="99" spans="1:23" s="10" customFormat="1" ht="16.5" customHeight="1" x14ac:dyDescent="0.2">
      <c r="A99" s="94"/>
      <c r="B99" s="84"/>
      <c r="C99" s="279"/>
      <c r="D99" s="280"/>
      <c r="E99" s="88" t="s">
        <v>1</v>
      </c>
      <c r="F99" s="88">
        <f>SUM(F100)</f>
        <v>0</v>
      </c>
      <c r="G99" s="88">
        <f>SUM(G100)</f>
        <v>0</v>
      </c>
      <c r="H99" s="88">
        <f>SUM(H100)</f>
        <v>0</v>
      </c>
      <c r="I99" s="173">
        <f>SUM(I100:I103)</f>
        <v>11333690</v>
      </c>
      <c r="J99" s="174">
        <v>0</v>
      </c>
      <c r="K99" s="187">
        <f>SUM(K100:K103)</f>
        <v>11503490</v>
      </c>
      <c r="L99" s="321">
        <f>SUM(L100:L103)</f>
        <v>11503490</v>
      </c>
      <c r="M99" s="322">
        <f t="shared" ref="M99:U99" si="57">SUM(M100:M103)</f>
        <v>3333690</v>
      </c>
      <c r="N99" s="298">
        <f t="shared" si="57"/>
        <v>0</v>
      </c>
      <c r="O99" s="298">
        <f t="shared" si="57"/>
        <v>619800</v>
      </c>
      <c r="P99" s="298">
        <f t="shared" si="57"/>
        <v>3953490</v>
      </c>
      <c r="Q99" s="298">
        <f t="shared" ref="Q99" si="58">SUM(Q100:Q103)</f>
        <v>3953490</v>
      </c>
      <c r="R99" s="323">
        <f t="shared" si="57"/>
        <v>8000000</v>
      </c>
      <c r="S99" s="324">
        <f t="shared" si="57"/>
        <v>450000</v>
      </c>
      <c r="T99" s="324">
        <f t="shared" si="57"/>
        <v>0</v>
      </c>
      <c r="U99" s="298">
        <f t="shared" si="57"/>
        <v>7550000</v>
      </c>
      <c r="V99" s="298">
        <f t="shared" ref="V99" si="59">SUM(V100:V103)</f>
        <v>7550000</v>
      </c>
      <c r="W99" s="281"/>
    </row>
    <row r="100" spans="1:23" s="10" customFormat="1" ht="15" customHeight="1" x14ac:dyDescent="0.2">
      <c r="A100" s="67"/>
      <c r="B100" s="48"/>
      <c r="C100" s="44">
        <v>2480</v>
      </c>
      <c r="D100" s="45" t="s">
        <v>43</v>
      </c>
      <c r="E100" s="46"/>
      <c r="F100" s="46"/>
      <c r="G100" s="71"/>
      <c r="H100" s="47"/>
      <c r="I100" s="162">
        <f t="shared" ref="I100:I103" si="60">SUM(M100,R100)</f>
        <v>3333690</v>
      </c>
      <c r="J100" s="163"/>
      <c r="K100" s="181">
        <f>SUM(P100,U100)</f>
        <v>3953490</v>
      </c>
      <c r="L100" s="312">
        <f t="shared" ref="L100:L101" si="61">SUM(Q100,V100)</f>
        <v>3953490</v>
      </c>
      <c r="M100" s="302">
        <v>3333690</v>
      </c>
      <c r="N100" s="188"/>
      <c r="O100" s="188">
        <f>100500+19300+200000+150000+150000</f>
        <v>619800</v>
      </c>
      <c r="P100" s="188">
        <f>SUM(M100-N100+O100)</f>
        <v>3953490</v>
      </c>
      <c r="Q100" s="309">
        <v>3953490</v>
      </c>
      <c r="R100" s="225"/>
      <c r="S100" s="315"/>
      <c r="T100" s="315"/>
      <c r="U100" s="188"/>
      <c r="V100" s="188"/>
      <c r="W100" s="281"/>
    </row>
    <row r="101" spans="1:23" s="10" customFormat="1" ht="14.25" customHeight="1" x14ac:dyDescent="0.2">
      <c r="A101" s="67"/>
      <c r="B101" s="84"/>
      <c r="C101" s="85">
        <v>6220</v>
      </c>
      <c r="D101" s="86" t="s">
        <v>43</v>
      </c>
      <c r="E101" s="88"/>
      <c r="F101" s="88"/>
      <c r="G101" s="89"/>
      <c r="H101" s="90"/>
      <c r="I101" s="173">
        <f t="shared" si="60"/>
        <v>8000000</v>
      </c>
      <c r="J101" s="174"/>
      <c r="K101" s="187">
        <f>SUM(P101,U101)</f>
        <v>7550000</v>
      </c>
      <c r="L101" s="321">
        <f t="shared" si="61"/>
        <v>7550000</v>
      </c>
      <c r="M101" s="322"/>
      <c r="N101" s="298"/>
      <c r="O101" s="298"/>
      <c r="P101" s="298"/>
      <c r="Q101" s="325"/>
      <c r="R101" s="323">
        <v>8000000</v>
      </c>
      <c r="S101" s="324">
        <v>450000</v>
      </c>
      <c r="T101" s="324"/>
      <c r="U101" s="298">
        <f t="shared" ref="U101:U103" si="62">SUM(R101-S101+T101)</f>
        <v>7550000</v>
      </c>
      <c r="V101" s="298">
        <v>7550000</v>
      </c>
      <c r="W101" s="281"/>
    </row>
    <row r="102" spans="1:23" s="10" customFormat="1" ht="15" hidden="1" customHeight="1" x14ac:dyDescent="0.2">
      <c r="A102" s="67"/>
      <c r="B102" s="48"/>
      <c r="C102" s="44">
        <v>6227</v>
      </c>
      <c r="D102" s="45" t="s">
        <v>43</v>
      </c>
      <c r="E102" s="46"/>
      <c r="F102" s="46"/>
      <c r="G102" s="71"/>
      <c r="H102" s="47"/>
      <c r="I102" s="162">
        <f t="shared" si="60"/>
        <v>0</v>
      </c>
      <c r="J102" s="163"/>
      <c r="K102" s="181">
        <f>SUM(P102,U102)</f>
        <v>0</v>
      </c>
      <c r="L102" s="312"/>
      <c r="M102" s="302"/>
      <c r="N102" s="188"/>
      <c r="O102" s="188"/>
      <c r="P102" s="188">
        <f t="shared" ref="P102:P103" si="63">SUM(M102-N102+O102)</f>
        <v>0</v>
      </c>
      <c r="Q102" s="309"/>
      <c r="R102" s="225"/>
      <c r="S102" s="315"/>
      <c r="T102" s="314"/>
      <c r="U102" s="188">
        <f t="shared" si="62"/>
        <v>0</v>
      </c>
      <c r="V102" s="188"/>
      <c r="W102" s="281"/>
    </row>
    <row r="103" spans="1:23" s="10" customFormat="1" ht="15" hidden="1" customHeight="1" x14ac:dyDescent="0.2">
      <c r="A103" s="67"/>
      <c r="B103" s="48"/>
      <c r="C103" s="44">
        <v>6229</v>
      </c>
      <c r="D103" s="45" t="s">
        <v>43</v>
      </c>
      <c r="E103" s="46"/>
      <c r="F103" s="46"/>
      <c r="G103" s="71"/>
      <c r="H103" s="47"/>
      <c r="I103" s="162">
        <f t="shared" si="60"/>
        <v>0</v>
      </c>
      <c r="J103" s="163"/>
      <c r="K103" s="181">
        <f>SUM(P103,U103)</f>
        <v>0</v>
      </c>
      <c r="L103" s="312"/>
      <c r="M103" s="302"/>
      <c r="N103" s="188"/>
      <c r="O103" s="188"/>
      <c r="P103" s="188">
        <f t="shared" si="63"/>
        <v>0</v>
      </c>
      <c r="Q103" s="309"/>
      <c r="R103" s="225"/>
      <c r="S103" s="315"/>
      <c r="T103" s="314"/>
      <c r="U103" s="188">
        <f t="shared" si="62"/>
        <v>0</v>
      </c>
      <c r="V103" s="188"/>
      <c r="W103" s="281"/>
    </row>
    <row r="104" spans="1:23" s="10" customFormat="1" ht="15.95" customHeight="1" x14ac:dyDescent="0.2">
      <c r="A104" s="67"/>
      <c r="B104" s="145">
        <v>92113</v>
      </c>
      <c r="C104" s="146"/>
      <c r="D104" s="147" t="s">
        <v>48</v>
      </c>
      <c r="E104" s="148" t="s">
        <v>21</v>
      </c>
      <c r="F104" s="54"/>
      <c r="G104" s="149"/>
      <c r="H104" s="52"/>
      <c r="I104" s="168">
        <f>SUM(I106)</f>
        <v>2559730</v>
      </c>
      <c r="J104" s="169"/>
      <c r="K104" s="189">
        <f>SUM(K106)</f>
        <v>3252980</v>
      </c>
      <c r="L104" s="316">
        <f>SUM(L106)</f>
        <v>3243310.34</v>
      </c>
      <c r="M104" s="310">
        <f>SUM(M106)</f>
        <v>2059730</v>
      </c>
      <c r="N104" s="204">
        <f t="shared" ref="N104:U104" si="64">SUM(N106)</f>
        <v>0</v>
      </c>
      <c r="O104" s="204">
        <f t="shared" si="64"/>
        <v>466250</v>
      </c>
      <c r="P104" s="204">
        <f t="shared" si="64"/>
        <v>2525980</v>
      </c>
      <c r="Q104" s="204">
        <f t="shared" ref="Q104" si="65">SUM(Q106)</f>
        <v>2525980</v>
      </c>
      <c r="R104" s="299">
        <f t="shared" si="64"/>
        <v>500000</v>
      </c>
      <c r="S104" s="318">
        <f t="shared" si="64"/>
        <v>0</v>
      </c>
      <c r="T104" s="318">
        <f t="shared" si="64"/>
        <v>227000</v>
      </c>
      <c r="U104" s="204">
        <f t="shared" si="64"/>
        <v>727000</v>
      </c>
      <c r="V104" s="204">
        <f t="shared" ref="V104" si="66">SUM(V106)</f>
        <v>717330.34</v>
      </c>
      <c r="W104" s="281"/>
    </row>
    <row r="105" spans="1:23" s="10" customFormat="1" ht="15.95" customHeight="1" x14ac:dyDescent="0.2">
      <c r="A105" s="67"/>
      <c r="B105" s="141"/>
      <c r="C105" s="142"/>
      <c r="D105" s="143"/>
      <c r="E105" s="144" t="s">
        <v>22</v>
      </c>
      <c r="F105" s="46"/>
      <c r="G105" s="71"/>
      <c r="H105" s="45"/>
      <c r="I105" s="162"/>
      <c r="J105" s="163"/>
      <c r="K105" s="181"/>
      <c r="L105" s="312"/>
      <c r="M105" s="302"/>
      <c r="N105" s="313"/>
      <c r="O105" s="313"/>
      <c r="P105" s="188"/>
      <c r="Q105" s="188"/>
      <c r="R105" s="225"/>
      <c r="S105" s="314"/>
      <c r="T105" s="314"/>
      <c r="U105" s="188"/>
      <c r="V105" s="188"/>
      <c r="W105" s="281"/>
    </row>
    <row r="106" spans="1:23" s="10" customFormat="1" ht="15.95" customHeight="1" x14ac:dyDescent="0.2">
      <c r="A106" s="67"/>
      <c r="B106" s="141"/>
      <c r="C106" s="142"/>
      <c r="D106" s="143"/>
      <c r="E106" s="144" t="s">
        <v>1</v>
      </c>
      <c r="F106" s="46"/>
      <c r="G106" s="71"/>
      <c r="H106" s="45"/>
      <c r="I106" s="162">
        <f>SUM(I107:I108)</f>
        <v>2559730</v>
      </c>
      <c r="J106" s="163"/>
      <c r="K106" s="181">
        <f>SUM(K107:K108)</f>
        <v>3252980</v>
      </c>
      <c r="L106" s="312">
        <f>SUM(L107:L108)</f>
        <v>3243310.34</v>
      </c>
      <c r="M106" s="302">
        <f>SUM(M107:M108)</f>
        <v>2059730</v>
      </c>
      <c r="N106" s="188">
        <f t="shared" ref="N106:U106" si="67">SUM(N107:N108)</f>
        <v>0</v>
      </c>
      <c r="O106" s="188">
        <f t="shared" si="67"/>
        <v>466250</v>
      </c>
      <c r="P106" s="188">
        <f t="shared" si="67"/>
        <v>2525980</v>
      </c>
      <c r="Q106" s="188">
        <f t="shared" ref="Q106" si="68">SUM(Q107:Q108)</f>
        <v>2525980</v>
      </c>
      <c r="R106" s="225">
        <f t="shared" si="67"/>
        <v>500000</v>
      </c>
      <c r="S106" s="315">
        <f t="shared" si="67"/>
        <v>0</v>
      </c>
      <c r="T106" s="315">
        <f t="shared" si="67"/>
        <v>227000</v>
      </c>
      <c r="U106" s="188">
        <f t="shared" si="67"/>
        <v>727000</v>
      </c>
      <c r="V106" s="188">
        <f t="shared" ref="V106" si="69">SUM(V107:V108)</f>
        <v>717330.34</v>
      </c>
      <c r="W106" s="281"/>
    </row>
    <row r="107" spans="1:23" s="10" customFormat="1" ht="15.95" customHeight="1" x14ac:dyDescent="0.2">
      <c r="A107" s="67"/>
      <c r="B107" s="141"/>
      <c r="C107" s="142">
        <v>2480</v>
      </c>
      <c r="D107" s="143" t="s">
        <v>76</v>
      </c>
      <c r="E107" s="144"/>
      <c r="F107" s="46"/>
      <c r="G107" s="71"/>
      <c r="H107" s="45"/>
      <c r="I107" s="162">
        <f t="shared" ref="I107:I108" si="70">SUM(M107,R107)</f>
        <v>2059730</v>
      </c>
      <c r="J107" s="163"/>
      <c r="K107" s="181">
        <f>SUM(P107,U107)</f>
        <v>2525980</v>
      </c>
      <c r="L107" s="312">
        <f t="shared" ref="L107:L108" si="71">SUM(Q107,V107)</f>
        <v>2525980</v>
      </c>
      <c r="M107" s="302">
        <v>2059730</v>
      </c>
      <c r="N107" s="313"/>
      <c r="O107" s="188">
        <f>800+30000+50250+70000+84000+31200+50000+100000+50000</f>
        <v>466250</v>
      </c>
      <c r="P107" s="188">
        <f>SUM(M107-N107+O107)</f>
        <v>2525980</v>
      </c>
      <c r="Q107" s="309">
        <v>2525980</v>
      </c>
      <c r="R107" s="225"/>
      <c r="S107" s="314"/>
      <c r="T107" s="314"/>
      <c r="U107" s="188"/>
      <c r="V107" s="188"/>
      <c r="W107" s="281"/>
    </row>
    <row r="108" spans="1:23" s="10" customFormat="1" ht="15.95" customHeight="1" x14ac:dyDescent="0.2">
      <c r="A108" s="67"/>
      <c r="B108" s="141"/>
      <c r="C108" s="142">
        <v>6560</v>
      </c>
      <c r="D108" s="143" t="s">
        <v>76</v>
      </c>
      <c r="E108" s="144"/>
      <c r="F108" s="46"/>
      <c r="G108" s="71"/>
      <c r="H108" s="45"/>
      <c r="I108" s="162">
        <f t="shared" si="70"/>
        <v>500000</v>
      </c>
      <c r="J108" s="163"/>
      <c r="K108" s="181">
        <f>SUM(P108,U108)</f>
        <v>727000</v>
      </c>
      <c r="L108" s="312">
        <f t="shared" si="71"/>
        <v>717330.34</v>
      </c>
      <c r="M108" s="302"/>
      <c r="N108" s="313"/>
      <c r="O108" s="188"/>
      <c r="P108" s="188"/>
      <c r="Q108" s="309"/>
      <c r="R108" s="225">
        <v>500000</v>
      </c>
      <c r="S108" s="314"/>
      <c r="T108" s="315">
        <f>80000+147000</f>
        <v>227000</v>
      </c>
      <c r="U108" s="188">
        <f t="shared" ref="U108" si="72">SUM(R108-S108+T108)</f>
        <v>727000</v>
      </c>
      <c r="V108" s="188">
        <v>717330.34</v>
      </c>
      <c r="W108" s="281"/>
    </row>
    <row r="109" spans="1:23" s="10" customFormat="1" ht="15" customHeight="1" x14ac:dyDescent="0.2">
      <c r="A109" s="67"/>
      <c r="B109" s="61">
        <v>92114</v>
      </c>
      <c r="C109" s="51"/>
      <c r="D109" s="52" t="s">
        <v>12</v>
      </c>
      <c r="E109" s="53" t="s">
        <v>21</v>
      </c>
      <c r="F109" s="54">
        <f>SUM(F111)</f>
        <v>0</v>
      </c>
      <c r="G109" s="83">
        <f>SUM(G111)</f>
        <v>0</v>
      </c>
      <c r="H109" s="54">
        <f>SUM(H111)</f>
        <v>0</v>
      </c>
      <c r="I109" s="168">
        <f>SUM(I111)</f>
        <v>24600000</v>
      </c>
      <c r="J109" s="169">
        <v>0</v>
      </c>
      <c r="K109" s="189">
        <f>SUM(K111)</f>
        <v>31338740</v>
      </c>
      <c r="L109" s="316">
        <f>SUM(L111)</f>
        <v>31338740</v>
      </c>
      <c r="M109" s="310">
        <f t="shared" ref="M109:U109" si="73">SUM(M111)</f>
        <v>23800000</v>
      </c>
      <c r="N109" s="204">
        <f t="shared" si="73"/>
        <v>0</v>
      </c>
      <c r="O109" s="204">
        <f t="shared" si="73"/>
        <v>6738740</v>
      </c>
      <c r="P109" s="204">
        <f t="shared" si="73"/>
        <v>30538740</v>
      </c>
      <c r="Q109" s="204">
        <f t="shared" ref="Q109" si="74">SUM(Q111)</f>
        <v>30538740</v>
      </c>
      <c r="R109" s="299">
        <f t="shared" si="73"/>
        <v>800000</v>
      </c>
      <c r="S109" s="204">
        <f t="shared" si="73"/>
        <v>0</v>
      </c>
      <c r="T109" s="319">
        <f t="shared" si="73"/>
        <v>0</v>
      </c>
      <c r="U109" s="204">
        <f t="shared" si="73"/>
        <v>800000</v>
      </c>
      <c r="V109" s="204">
        <f t="shared" ref="V109" si="75">SUM(V111)</f>
        <v>800000</v>
      </c>
      <c r="W109" s="281"/>
    </row>
    <row r="110" spans="1:23" s="10" customFormat="1" ht="15" customHeight="1" x14ac:dyDescent="0.2">
      <c r="A110" s="67"/>
      <c r="B110" s="48"/>
      <c r="C110" s="39"/>
      <c r="D110" s="40"/>
      <c r="E110" s="70" t="s">
        <v>22</v>
      </c>
      <c r="F110" s="46"/>
      <c r="G110" s="46"/>
      <c r="H110" s="46"/>
      <c r="I110" s="162"/>
      <c r="J110" s="163"/>
      <c r="K110" s="181"/>
      <c r="L110" s="312"/>
      <c r="M110" s="302"/>
      <c r="N110" s="313"/>
      <c r="O110" s="313"/>
      <c r="P110" s="188"/>
      <c r="Q110" s="188"/>
      <c r="R110" s="225"/>
      <c r="S110" s="314"/>
      <c r="T110" s="314"/>
      <c r="U110" s="188"/>
      <c r="V110" s="188"/>
      <c r="W110" s="281"/>
    </row>
    <row r="111" spans="1:23" s="10" customFormat="1" ht="15" customHeight="1" x14ac:dyDescent="0.2">
      <c r="A111" s="67"/>
      <c r="B111" s="48"/>
      <c r="C111" s="39"/>
      <c r="D111" s="40"/>
      <c r="E111" s="46" t="s">
        <v>1</v>
      </c>
      <c r="F111" s="46">
        <f>SUM(F112:F113)</f>
        <v>0</v>
      </c>
      <c r="G111" s="46">
        <f>SUM(G112:G113)</f>
        <v>0</v>
      </c>
      <c r="H111" s="46">
        <f>SUM(H112:H113)</f>
        <v>0</v>
      </c>
      <c r="I111" s="162">
        <f>SUM(I112:I115)</f>
        <v>24600000</v>
      </c>
      <c r="J111" s="163">
        <v>0</v>
      </c>
      <c r="K111" s="181">
        <f>SUM(K112:K115)</f>
        <v>31338740</v>
      </c>
      <c r="L111" s="312">
        <f>SUM(L112:L115)</f>
        <v>31338740</v>
      </c>
      <c r="M111" s="302">
        <f t="shared" ref="M111:U111" si="76">SUM(M112:M115)</f>
        <v>23800000</v>
      </c>
      <c r="N111" s="188">
        <f t="shared" si="76"/>
        <v>0</v>
      </c>
      <c r="O111" s="188">
        <f t="shared" si="76"/>
        <v>6738740</v>
      </c>
      <c r="P111" s="188">
        <f t="shared" si="76"/>
        <v>30538740</v>
      </c>
      <c r="Q111" s="188">
        <f t="shared" ref="Q111" si="77">SUM(Q112:Q115)</f>
        <v>30538740</v>
      </c>
      <c r="R111" s="225">
        <f t="shared" si="76"/>
        <v>800000</v>
      </c>
      <c r="S111" s="188">
        <f t="shared" si="76"/>
        <v>0</v>
      </c>
      <c r="T111" s="309">
        <f t="shared" si="76"/>
        <v>0</v>
      </c>
      <c r="U111" s="188">
        <f t="shared" si="76"/>
        <v>800000</v>
      </c>
      <c r="V111" s="188">
        <f t="shared" ref="V111" si="78">SUM(V112:V115)</f>
        <v>800000</v>
      </c>
      <c r="W111" s="281"/>
    </row>
    <row r="112" spans="1:23" s="10" customFormat="1" ht="15" customHeight="1" x14ac:dyDescent="0.2">
      <c r="A112" s="67"/>
      <c r="B112" s="48"/>
      <c r="C112" s="44">
        <v>2480</v>
      </c>
      <c r="D112" s="45" t="s">
        <v>13</v>
      </c>
      <c r="E112" s="46"/>
      <c r="F112" s="46"/>
      <c r="G112" s="71"/>
      <c r="H112" s="47"/>
      <c r="I112" s="162">
        <f t="shared" ref="I112:I115" si="79">SUM(M112,R112)</f>
        <v>23800000</v>
      </c>
      <c r="J112" s="163"/>
      <c r="K112" s="181">
        <f>SUM(P112,U112)</f>
        <v>30538740</v>
      </c>
      <c r="L112" s="312">
        <f t="shared" ref="L112:L113" si="80">SUM(Q112,V112)</f>
        <v>30538740</v>
      </c>
      <c r="M112" s="302">
        <v>23800000</v>
      </c>
      <c r="N112" s="313"/>
      <c r="O112" s="188">
        <f>195040+1200000+260000+453000+30000+109000+90000+395700+4000000+6000</f>
        <v>6738740</v>
      </c>
      <c r="P112" s="188">
        <f t="shared" ref="P112" si="81">SUM(M112-N112+O112)</f>
        <v>30538740</v>
      </c>
      <c r="Q112" s="309">
        <v>30538740</v>
      </c>
      <c r="R112" s="225"/>
      <c r="S112" s="314"/>
      <c r="T112" s="314"/>
      <c r="U112" s="188"/>
      <c r="V112" s="188"/>
      <c r="W112" s="281"/>
    </row>
    <row r="113" spans="1:23" s="10" customFormat="1" ht="15" customHeight="1" x14ac:dyDescent="0.2">
      <c r="A113" s="67"/>
      <c r="B113" s="48"/>
      <c r="C113" s="44">
        <v>2800</v>
      </c>
      <c r="D113" s="45" t="s">
        <v>13</v>
      </c>
      <c r="E113" s="46"/>
      <c r="F113" s="46"/>
      <c r="G113" s="71"/>
      <c r="H113" s="47"/>
      <c r="I113" s="162">
        <f t="shared" si="79"/>
        <v>800000</v>
      </c>
      <c r="J113" s="163"/>
      <c r="K113" s="181">
        <f>SUM(P113,U113)</f>
        <v>800000</v>
      </c>
      <c r="L113" s="312">
        <f t="shared" si="80"/>
        <v>800000</v>
      </c>
      <c r="M113" s="302"/>
      <c r="N113" s="313"/>
      <c r="O113" s="313"/>
      <c r="P113" s="188"/>
      <c r="Q113" s="309"/>
      <c r="R113" s="225">
        <v>800000</v>
      </c>
      <c r="S113" s="315"/>
      <c r="T113" s="315"/>
      <c r="U113" s="188">
        <f t="shared" ref="U113:U115" si="82">SUM(R113-S113+T113)</f>
        <v>800000</v>
      </c>
      <c r="V113" s="188">
        <v>800000</v>
      </c>
      <c r="W113" s="281"/>
    </row>
    <row r="114" spans="1:23" s="10" customFormat="1" ht="15" hidden="1" customHeight="1" x14ac:dyDescent="0.2">
      <c r="A114" s="67"/>
      <c r="B114" s="48"/>
      <c r="C114" s="44">
        <v>6220</v>
      </c>
      <c r="D114" s="45" t="s">
        <v>13</v>
      </c>
      <c r="E114" s="46"/>
      <c r="F114" s="46"/>
      <c r="G114" s="71"/>
      <c r="H114" s="47"/>
      <c r="I114" s="162">
        <f t="shared" si="79"/>
        <v>0</v>
      </c>
      <c r="J114" s="163"/>
      <c r="K114" s="181">
        <f>SUM(P114,U114)</f>
        <v>0</v>
      </c>
      <c r="L114" s="312"/>
      <c r="M114" s="302"/>
      <c r="N114" s="313"/>
      <c r="O114" s="313"/>
      <c r="P114" s="188"/>
      <c r="Q114" s="309"/>
      <c r="R114" s="225"/>
      <c r="S114" s="315"/>
      <c r="T114" s="315"/>
      <c r="U114" s="188">
        <f t="shared" si="82"/>
        <v>0</v>
      </c>
      <c r="V114" s="188"/>
      <c r="W114" s="281"/>
    </row>
    <row r="115" spans="1:23" s="10" customFormat="1" ht="15" hidden="1" customHeight="1" x14ac:dyDescent="0.2">
      <c r="A115" s="67"/>
      <c r="B115" s="48"/>
      <c r="C115" s="44">
        <v>6220</v>
      </c>
      <c r="D115" s="45" t="s">
        <v>13</v>
      </c>
      <c r="E115" s="46"/>
      <c r="F115" s="46"/>
      <c r="G115" s="71"/>
      <c r="H115" s="47"/>
      <c r="I115" s="162">
        <f t="shared" si="79"/>
        <v>0</v>
      </c>
      <c r="J115" s="163"/>
      <c r="K115" s="181">
        <f>SUM(P115,U115)</f>
        <v>0</v>
      </c>
      <c r="L115" s="312"/>
      <c r="M115" s="302"/>
      <c r="N115" s="313"/>
      <c r="O115" s="313"/>
      <c r="P115" s="188"/>
      <c r="Q115" s="309"/>
      <c r="R115" s="225"/>
      <c r="S115" s="315"/>
      <c r="T115" s="315"/>
      <c r="U115" s="188">
        <f t="shared" si="82"/>
        <v>0</v>
      </c>
      <c r="V115" s="188"/>
      <c r="W115" s="281"/>
    </row>
    <row r="116" spans="1:23" s="10" customFormat="1" ht="6.75" customHeight="1" x14ac:dyDescent="0.2">
      <c r="A116" s="67"/>
      <c r="B116" s="84"/>
      <c r="C116" s="85"/>
      <c r="D116" s="86"/>
      <c r="E116" s="87"/>
      <c r="F116" s="88"/>
      <c r="G116" s="89"/>
      <c r="H116" s="90"/>
      <c r="I116" s="173"/>
      <c r="J116" s="163"/>
      <c r="K116" s="181"/>
      <c r="L116" s="312"/>
      <c r="M116" s="302"/>
      <c r="N116" s="313"/>
      <c r="O116" s="313"/>
      <c r="P116" s="298"/>
      <c r="Q116" s="309"/>
      <c r="R116" s="225"/>
      <c r="S116" s="314"/>
      <c r="T116" s="314"/>
      <c r="U116" s="188"/>
      <c r="V116" s="188"/>
      <c r="W116" s="281"/>
    </row>
    <row r="117" spans="1:23" s="12" customFormat="1" ht="15" customHeight="1" x14ac:dyDescent="0.2">
      <c r="A117" s="67"/>
      <c r="B117" s="91">
        <v>92116</v>
      </c>
      <c r="C117" s="44"/>
      <c r="D117" s="45" t="s">
        <v>7</v>
      </c>
      <c r="E117" s="49" t="s">
        <v>21</v>
      </c>
      <c r="F117" s="46">
        <f>SUM(F119)</f>
        <v>0</v>
      </c>
      <c r="G117" s="46">
        <f>SUM(G119)</f>
        <v>0</v>
      </c>
      <c r="H117" s="46">
        <f>SUM(H119)</f>
        <v>0</v>
      </c>
      <c r="I117" s="162">
        <f>SUM(I119)</f>
        <v>29126160</v>
      </c>
      <c r="J117" s="169">
        <v>0</v>
      </c>
      <c r="K117" s="189">
        <f>SUM(K119)</f>
        <v>36733560</v>
      </c>
      <c r="L117" s="316">
        <f>SUM(L119)</f>
        <v>36720016.539999999</v>
      </c>
      <c r="M117" s="310">
        <f t="shared" ref="M117:U117" si="83">SUM(M119)</f>
        <v>28541160</v>
      </c>
      <c r="N117" s="204">
        <f t="shared" si="83"/>
        <v>5000</v>
      </c>
      <c r="O117" s="204">
        <f t="shared" si="83"/>
        <v>5359400</v>
      </c>
      <c r="P117" s="188">
        <f t="shared" si="83"/>
        <v>33895560</v>
      </c>
      <c r="Q117" s="316">
        <f t="shared" ref="Q117" si="84">SUM(Q119)</f>
        <v>33895560</v>
      </c>
      <c r="R117" s="299">
        <f t="shared" si="83"/>
        <v>585000</v>
      </c>
      <c r="S117" s="204">
        <f t="shared" si="83"/>
        <v>102000</v>
      </c>
      <c r="T117" s="319">
        <f t="shared" si="83"/>
        <v>2355000</v>
      </c>
      <c r="U117" s="204">
        <f t="shared" si="83"/>
        <v>2838000</v>
      </c>
      <c r="V117" s="204">
        <f t="shared" ref="V117" si="85">SUM(V119)</f>
        <v>2824456.54</v>
      </c>
      <c r="W117" s="281"/>
    </row>
    <row r="118" spans="1:23" s="12" customFormat="1" ht="15" customHeight="1" x14ac:dyDescent="0.2">
      <c r="A118" s="67"/>
      <c r="B118" s="66"/>
      <c r="C118" s="39"/>
      <c r="D118" s="40"/>
      <c r="E118" s="70" t="s">
        <v>22</v>
      </c>
      <c r="F118" s="42"/>
      <c r="G118" s="42"/>
      <c r="H118" s="42"/>
      <c r="I118" s="158"/>
      <c r="J118" s="159"/>
      <c r="K118" s="181"/>
      <c r="L118" s="312"/>
      <c r="M118" s="326"/>
      <c r="N118" s="327"/>
      <c r="O118" s="327"/>
      <c r="P118" s="188"/>
      <c r="Q118" s="188"/>
      <c r="R118" s="328"/>
      <c r="S118" s="327"/>
      <c r="T118" s="329"/>
      <c r="U118" s="188"/>
      <c r="V118" s="188"/>
      <c r="W118" s="281"/>
    </row>
    <row r="119" spans="1:23" s="12" customFormat="1" ht="15" customHeight="1" x14ac:dyDescent="0.2">
      <c r="A119" s="67"/>
      <c r="B119" s="43"/>
      <c r="C119" s="39"/>
      <c r="D119" s="40"/>
      <c r="E119" s="46" t="s">
        <v>1</v>
      </c>
      <c r="F119" s="46">
        <f>SUM(F120:F122)</f>
        <v>0</v>
      </c>
      <c r="G119" s="46">
        <f>SUM(G120:G122)</f>
        <v>0</v>
      </c>
      <c r="H119" s="46">
        <f>SUM(H120:H122)</f>
        <v>0</v>
      </c>
      <c r="I119" s="162">
        <f>SUM(I120:I123)</f>
        <v>29126160</v>
      </c>
      <c r="J119" s="163">
        <v>0</v>
      </c>
      <c r="K119" s="181">
        <f>SUM(K120:K123)</f>
        <v>36733560</v>
      </c>
      <c r="L119" s="312">
        <f>SUM(L120:L123)</f>
        <v>36720016.539999999</v>
      </c>
      <c r="M119" s="302">
        <f>SUM(M120:M123)</f>
        <v>28541160</v>
      </c>
      <c r="N119" s="188">
        <f t="shared" ref="N119:U119" si="86">SUM(N120:N123)</f>
        <v>5000</v>
      </c>
      <c r="O119" s="188">
        <f t="shared" si="86"/>
        <v>5359400</v>
      </c>
      <c r="P119" s="188">
        <f t="shared" si="86"/>
        <v>33895560</v>
      </c>
      <c r="Q119" s="188">
        <f t="shared" ref="Q119" si="87">SUM(Q120:Q123)</f>
        <v>33895560</v>
      </c>
      <c r="R119" s="225">
        <f t="shared" si="86"/>
        <v>585000</v>
      </c>
      <c r="S119" s="188">
        <f t="shared" si="86"/>
        <v>102000</v>
      </c>
      <c r="T119" s="309">
        <f t="shared" si="86"/>
        <v>2355000</v>
      </c>
      <c r="U119" s="188">
        <f t="shared" si="86"/>
        <v>2838000</v>
      </c>
      <c r="V119" s="188">
        <f t="shared" ref="V119" si="88">SUM(V120:V123)</f>
        <v>2824456.54</v>
      </c>
      <c r="W119" s="281"/>
    </row>
    <row r="120" spans="1:23" s="13" customFormat="1" ht="14.25" customHeight="1" x14ac:dyDescent="0.2">
      <c r="A120" s="67"/>
      <c r="B120" s="43"/>
      <c r="C120" s="44">
        <v>2480</v>
      </c>
      <c r="D120" s="45" t="s">
        <v>72</v>
      </c>
      <c r="E120" s="46"/>
      <c r="F120" s="46"/>
      <c r="G120" s="92"/>
      <c r="H120" s="93"/>
      <c r="I120" s="162">
        <f t="shared" ref="I120:I121" si="89">SUM(M120,R120)</f>
        <v>28541160</v>
      </c>
      <c r="J120" s="163"/>
      <c r="K120" s="181">
        <f>SUM(P120,U120)</f>
        <v>33895560</v>
      </c>
      <c r="L120" s="312">
        <f t="shared" ref="L120:L123" si="90">SUM(Q120,V120)</f>
        <v>33895560</v>
      </c>
      <c r="M120" s="302">
        <v>28541160</v>
      </c>
      <c r="N120" s="188">
        <v>5000</v>
      </c>
      <c r="O120" s="188">
        <f>6000+32900+14000+41820+8000+315742+1844500+1162700+10000+1500000+23738+400000</f>
        <v>5359400</v>
      </c>
      <c r="P120" s="188">
        <f>SUM(M120-N120+O120)</f>
        <v>33895560</v>
      </c>
      <c r="Q120" s="309">
        <v>33895560</v>
      </c>
      <c r="R120" s="225"/>
      <c r="S120" s="314"/>
      <c r="T120" s="314"/>
      <c r="U120" s="188"/>
      <c r="V120" s="188"/>
      <c r="W120" s="281"/>
    </row>
    <row r="121" spans="1:23" s="13" customFormat="1" ht="15" hidden="1" customHeight="1" x14ac:dyDescent="0.2">
      <c r="A121" s="67"/>
      <c r="B121" s="43"/>
      <c r="C121" s="44">
        <v>2800</v>
      </c>
      <c r="D121" s="45" t="s">
        <v>72</v>
      </c>
      <c r="E121" s="46"/>
      <c r="F121" s="46"/>
      <c r="G121" s="92"/>
      <c r="H121" s="93"/>
      <c r="I121" s="162">
        <f t="shared" si="89"/>
        <v>0</v>
      </c>
      <c r="J121" s="163"/>
      <c r="K121" s="181">
        <f>SUM(P121,U121)</f>
        <v>0</v>
      </c>
      <c r="L121" s="312">
        <f t="shared" si="90"/>
        <v>0</v>
      </c>
      <c r="M121" s="302"/>
      <c r="N121" s="188"/>
      <c r="O121" s="188"/>
      <c r="P121" s="188">
        <f t="shared" ref="P121" si="91">SUM(M121-N121+O121)</f>
        <v>0</v>
      </c>
      <c r="Q121" s="309"/>
      <c r="R121" s="225"/>
      <c r="S121" s="314"/>
      <c r="T121" s="315"/>
      <c r="U121" s="188">
        <f t="shared" ref="U121" si="92">SUM(R121-S121+T121)</f>
        <v>0</v>
      </c>
      <c r="V121" s="188"/>
      <c r="W121" s="281"/>
    </row>
    <row r="122" spans="1:23" s="13" customFormat="1" ht="15" customHeight="1" x14ac:dyDescent="0.2">
      <c r="A122" s="67"/>
      <c r="B122" s="48"/>
      <c r="C122" s="44">
        <v>6220</v>
      </c>
      <c r="D122" s="45" t="s">
        <v>72</v>
      </c>
      <c r="E122" s="46"/>
      <c r="F122" s="46"/>
      <c r="G122" s="92"/>
      <c r="H122" s="93"/>
      <c r="I122" s="162">
        <f>SUM(M122,R122)</f>
        <v>200000</v>
      </c>
      <c r="J122" s="163"/>
      <c r="K122" s="181">
        <f>SUM(P122,U122)</f>
        <v>2555000</v>
      </c>
      <c r="L122" s="312">
        <f t="shared" si="90"/>
        <v>2545536.14</v>
      </c>
      <c r="M122" s="302"/>
      <c r="N122" s="188"/>
      <c r="O122" s="188"/>
      <c r="P122" s="188"/>
      <c r="Q122" s="309"/>
      <c r="R122" s="225">
        <v>200000</v>
      </c>
      <c r="S122" s="314"/>
      <c r="T122" s="315">
        <f>200000+102000+2053000</f>
        <v>2355000</v>
      </c>
      <c r="U122" s="188">
        <f t="shared" ref="U122" si="93">SUM(R122-S122+T122)</f>
        <v>2555000</v>
      </c>
      <c r="V122" s="188">
        <v>2545536.14</v>
      </c>
      <c r="W122" s="281"/>
    </row>
    <row r="123" spans="1:23" s="13" customFormat="1" ht="15" customHeight="1" x14ac:dyDescent="0.2">
      <c r="A123" s="67"/>
      <c r="B123" s="84"/>
      <c r="C123" s="85">
        <v>6229</v>
      </c>
      <c r="D123" s="90" t="s">
        <v>72</v>
      </c>
      <c r="E123" s="88"/>
      <c r="F123" s="88"/>
      <c r="G123" s="155"/>
      <c r="H123" s="140"/>
      <c r="I123" s="173">
        <f>SUM(M123,R123)</f>
        <v>385000</v>
      </c>
      <c r="J123" s="174"/>
      <c r="K123" s="187">
        <f>SUM(P123,U123)</f>
        <v>283000</v>
      </c>
      <c r="L123" s="321">
        <f t="shared" si="90"/>
        <v>278920.40000000002</v>
      </c>
      <c r="M123" s="322"/>
      <c r="N123" s="298"/>
      <c r="O123" s="298"/>
      <c r="P123" s="298"/>
      <c r="Q123" s="325"/>
      <c r="R123" s="323">
        <v>385000</v>
      </c>
      <c r="S123" s="330">
        <v>102000</v>
      </c>
      <c r="T123" s="324"/>
      <c r="U123" s="298">
        <f t="shared" ref="U123" si="94">SUM(R123-S123+T123)</f>
        <v>283000</v>
      </c>
      <c r="V123" s="188">
        <v>278920.40000000002</v>
      </c>
      <c r="W123" s="281"/>
    </row>
    <row r="124" spans="1:23" s="12" customFormat="1" ht="15" customHeight="1" x14ac:dyDescent="0.2">
      <c r="A124" s="67"/>
      <c r="B124" s="91">
        <v>92118</v>
      </c>
      <c r="C124" s="44"/>
      <c r="D124" s="45" t="s">
        <v>8</v>
      </c>
      <c r="E124" s="49" t="s">
        <v>21</v>
      </c>
      <c r="F124" s="46">
        <f>SUM(F126+F149)</f>
        <v>0</v>
      </c>
      <c r="G124" s="46">
        <f>SUM(G126+G149)</f>
        <v>0</v>
      </c>
      <c r="H124" s="46">
        <f>SUM(H126+H149)</f>
        <v>0</v>
      </c>
      <c r="I124" s="162">
        <f>SUM(I126,I149)</f>
        <v>73230425</v>
      </c>
      <c r="J124" s="163">
        <v>0</v>
      </c>
      <c r="K124" s="181">
        <f>SUM(K126,K149)</f>
        <v>81040446</v>
      </c>
      <c r="L124" s="312">
        <f>SUM(L126,L149)</f>
        <v>80871332.489999995</v>
      </c>
      <c r="M124" s="302">
        <f t="shared" ref="M124:U124" si="95">SUM(M126,M149)</f>
        <v>55546150</v>
      </c>
      <c r="N124" s="188">
        <f t="shared" si="95"/>
        <v>0</v>
      </c>
      <c r="O124" s="188">
        <f t="shared" si="95"/>
        <v>10098039</v>
      </c>
      <c r="P124" s="188">
        <f t="shared" si="95"/>
        <v>65644189</v>
      </c>
      <c r="Q124" s="188">
        <f t="shared" ref="Q124" si="96">SUM(Q126,Q149)</f>
        <v>65640803.850000001</v>
      </c>
      <c r="R124" s="225">
        <f t="shared" si="95"/>
        <v>17684275</v>
      </c>
      <c r="S124" s="315">
        <f t="shared" si="95"/>
        <v>2613300</v>
      </c>
      <c r="T124" s="315">
        <f t="shared" si="95"/>
        <v>325282</v>
      </c>
      <c r="U124" s="188">
        <f t="shared" si="95"/>
        <v>15396257</v>
      </c>
      <c r="V124" s="204">
        <f t="shared" ref="V124" si="97">SUM(V126,V149)</f>
        <v>15230528.640000001</v>
      </c>
      <c r="W124" s="281"/>
    </row>
    <row r="125" spans="1:23" s="12" customFormat="1" ht="15" customHeight="1" x14ac:dyDescent="0.2">
      <c r="A125" s="67"/>
      <c r="B125" s="43"/>
      <c r="C125" s="44"/>
      <c r="D125" s="45"/>
      <c r="E125" s="70" t="s">
        <v>22</v>
      </c>
      <c r="F125" s="46"/>
      <c r="G125" s="46"/>
      <c r="H125" s="46"/>
      <c r="I125" s="162"/>
      <c r="J125" s="163"/>
      <c r="K125" s="181"/>
      <c r="L125" s="312"/>
      <c r="M125" s="302"/>
      <c r="N125" s="313"/>
      <c r="O125" s="313"/>
      <c r="P125" s="188"/>
      <c r="Q125" s="188"/>
      <c r="R125" s="225"/>
      <c r="S125" s="314"/>
      <c r="T125" s="314"/>
      <c r="U125" s="188"/>
      <c r="V125" s="188"/>
      <c r="W125" s="281"/>
    </row>
    <row r="126" spans="1:23" s="12" customFormat="1" ht="15" customHeight="1" x14ac:dyDescent="0.2">
      <c r="A126" s="67"/>
      <c r="B126" s="43"/>
      <c r="C126" s="44"/>
      <c r="D126" s="45"/>
      <c r="E126" s="46" t="s">
        <v>1</v>
      </c>
      <c r="F126" s="46"/>
      <c r="G126" s="46">
        <f>SUM(G127:G148)</f>
        <v>0</v>
      </c>
      <c r="H126" s="46">
        <f>SUM(H127:H148)</f>
        <v>0</v>
      </c>
      <c r="I126" s="162">
        <f>SUM(I127:I147)</f>
        <v>66517575</v>
      </c>
      <c r="J126" s="163">
        <v>0</v>
      </c>
      <c r="K126" s="181">
        <f>SUM(K127:K147)</f>
        <v>72779314</v>
      </c>
      <c r="L126" s="312">
        <f>SUM(L127:L147)</f>
        <v>72610200.489999995</v>
      </c>
      <c r="M126" s="302">
        <f t="shared" ref="M126:U126" si="98">SUM(M127:M147)</f>
        <v>49183300</v>
      </c>
      <c r="N126" s="188">
        <f t="shared" si="98"/>
        <v>0</v>
      </c>
      <c r="O126" s="188">
        <f t="shared" si="98"/>
        <v>8772039</v>
      </c>
      <c r="P126" s="188">
        <f t="shared" si="98"/>
        <v>57955339</v>
      </c>
      <c r="Q126" s="188">
        <f t="shared" ref="Q126" si="99">SUM(Q127:Q147)</f>
        <v>57951953.850000001</v>
      </c>
      <c r="R126" s="225">
        <f t="shared" si="98"/>
        <v>17334275</v>
      </c>
      <c r="S126" s="188">
        <f t="shared" si="98"/>
        <v>2613300</v>
      </c>
      <c r="T126" s="309">
        <f t="shared" si="98"/>
        <v>103000</v>
      </c>
      <c r="U126" s="188">
        <f t="shared" si="98"/>
        <v>14823975</v>
      </c>
      <c r="V126" s="188">
        <f t="shared" ref="V126" si="100">SUM(V127:V147)</f>
        <v>14658246.640000001</v>
      </c>
      <c r="W126" s="281"/>
    </row>
    <row r="127" spans="1:23" s="13" customFormat="1" ht="15" customHeight="1" x14ac:dyDescent="0.2">
      <c r="A127" s="67"/>
      <c r="B127" s="43"/>
      <c r="C127" s="44">
        <v>2480</v>
      </c>
      <c r="D127" s="45" t="s">
        <v>44</v>
      </c>
      <c r="E127" s="46"/>
      <c r="F127" s="46"/>
      <c r="G127" s="92"/>
      <c r="H127" s="93"/>
      <c r="I127" s="162">
        <f t="shared" ref="I127:I147" si="101">SUM(M127,R127)</f>
        <v>29113000</v>
      </c>
      <c r="J127" s="163"/>
      <c r="K127" s="181">
        <f t="shared" ref="K127:K147" si="102">SUM(P127,U127)</f>
        <v>33138284</v>
      </c>
      <c r="L127" s="312">
        <f t="shared" ref="L127:L147" si="103">SUM(Q127,V127)</f>
        <v>33138284</v>
      </c>
      <c r="M127" s="302">
        <v>29113000</v>
      </c>
      <c r="N127" s="188"/>
      <c r="O127" s="188">
        <f>10000+205500+136520+43000+1484600+10000+53000+300000+7764+657900+1000000+10000+5000+102000</f>
        <v>4025284</v>
      </c>
      <c r="P127" s="188">
        <f t="shared" ref="P127:P146" si="104">SUM(M127-N127+O127)</f>
        <v>33138284</v>
      </c>
      <c r="Q127" s="309">
        <v>33138284</v>
      </c>
      <c r="R127" s="225"/>
      <c r="S127" s="315"/>
      <c r="T127" s="315"/>
      <c r="U127" s="188"/>
      <c r="V127" s="188"/>
      <c r="W127" s="281"/>
    </row>
    <row r="128" spans="1:23" s="13" customFormat="1" ht="15" hidden="1" customHeight="1" x14ac:dyDescent="0.2">
      <c r="A128" s="67"/>
      <c r="B128" s="43"/>
      <c r="C128" s="44">
        <v>2800</v>
      </c>
      <c r="D128" s="45" t="s">
        <v>44</v>
      </c>
      <c r="E128" s="46"/>
      <c r="F128" s="46"/>
      <c r="G128" s="92"/>
      <c r="H128" s="93"/>
      <c r="I128" s="162">
        <f t="shared" si="101"/>
        <v>0</v>
      </c>
      <c r="J128" s="163"/>
      <c r="K128" s="181">
        <f t="shared" si="102"/>
        <v>0</v>
      </c>
      <c r="L128" s="312">
        <f t="shared" si="103"/>
        <v>0</v>
      </c>
      <c r="M128" s="302"/>
      <c r="N128" s="188"/>
      <c r="O128" s="188"/>
      <c r="P128" s="188">
        <f t="shared" si="104"/>
        <v>0</v>
      </c>
      <c r="Q128" s="309"/>
      <c r="R128" s="225"/>
      <c r="S128" s="315"/>
      <c r="T128" s="315"/>
      <c r="U128" s="188">
        <f>SUM(R128-S128+T128)</f>
        <v>0</v>
      </c>
      <c r="V128" s="188"/>
      <c r="W128" s="281"/>
    </row>
    <row r="129" spans="1:23" s="13" customFormat="1" ht="15" customHeight="1" x14ac:dyDescent="0.2">
      <c r="A129" s="67"/>
      <c r="B129" s="43"/>
      <c r="C129" s="44">
        <v>6220</v>
      </c>
      <c r="D129" s="45" t="s">
        <v>44</v>
      </c>
      <c r="E129" s="46"/>
      <c r="F129" s="46"/>
      <c r="G129" s="92"/>
      <c r="H129" s="93"/>
      <c r="I129" s="162">
        <f t="shared" si="101"/>
        <v>6435000</v>
      </c>
      <c r="J129" s="163"/>
      <c r="K129" s="181">
        <f t="shared" si="102"/>
        <v>5785000</v>
      </c>
      <c r="L129" s="312">
        <f t="shared" si="103"/>
        <v>5785000</v>
      </c>
      <c r="M129" s="302"/>
      <c r="N129" s="188"/>
      <c r="O129" s="188"/>
      <c r="P129" s="188"/>
      <c r="Q129" s="309"/>
      <c r="R129" s="225">
        <v>6435000</v>
      </c>
      <c r="S129" s="315">
        <v>650000</v>
      </c>
      <c r="T129" s="315"/>
      <c r="U129" s="188">
        <f>SUM(R129-S129+T129)</f>
        <v>5785000</v>
      </c>
      <c r="V129" s="188">
        <v>5785000</v>
      </c>
      <c r="W129" s="281"/>
    </row>
    <row r="130" spans="1:23" s="13" customFormat="1" ht="15" customHeight="1" x14ac:dyDescent="0.2">
      <c r="A130" s="67"/>
      <c r="B130" s="43"/>
      <c r="C130" s="44">
        <v>6560</v>
      </c>
      <c r="D130" s="45" t="s">
        <v>44</v>
      </c>
      <c r="E130" s="46"/>
      <c r="F130" s="46"/>
      <c r="G130" s="92"/>
      <c r="H130" s="93"/>
      <c r="I130" s="162">
        <f t="shared" si="101"/>
        <v>600000</v>
      </c>
      <c r="J130" s="163"/>
      <c r="K130" s="181">
        <f t="shared" si="102"/>
        <v>300000</v>
      </c>
      <c r="L130" s="312">
        <f t="shared" si="103"/>
        <v>300000</v>
      </c>
      <c r="M130" s="302"/>
      <c r="N130" s="313"/>
      <c r="O130" s="188"/>
      <c r="P130" s="188"/>
      <c r="Q130" s="309"/>
      <c r="R130" s="225">
        <v>600000</v>
      </c>
      <c r="S130" s="315">
        <v>300000</v>
      </c>
      <c r="T130" s="315"/>
      <c r="U130" s="188">
        <f>SUM(R130-S130+T130)</f>
        <v>300000</v>
      </c>
      <c r="V130" s="188">
        <v>300000</v>
      </c>
      <c r="W130" s="281"/>
    </row>
    <row r="131" spans="1:23" s="13" customFormat="1" ht="15" hidden="1" customHeight="1" x14ac:dyDescent="0.2">
      <c r="A131" s="67"/>
      <c r="B131" s="43"/>
      <c r="C131" s="44">
        <v>6569</v>
      </c>
      <c r="D131" s="45" t="s">
        <v>44</v>
      </c>
      <c r="E131" s="46"/>
      <c r="F131" s="46"/>
      <c r="G131" s="92"/>
      <c r="H131" s="93"/>
      <c r="I131" s="162">
        <f t="shared" si="101"/>
        <v>0</v>
      </c>
      <c r="J131" s="163"/>
      <c r="K131" s="181">
        <f t="shared" si="102"/>
        <v>0</v>
      </c>
      <c r="L131" s="312">
        <f t="shared" si="103"/>
        <v>0</v>
      </c>
      <c r="M131" s="302"/>
      <c r="N131" s="313"/>
      <c r="O131" s="188"/>
      <c r="P131" s="188">
        <f t="shared" si="104"/>
        <v>0</v>
      </c>
      <c r="Q131" s="309"/>
      <c r="R131" s="225"/>
      <c r="S131" s="315"/>
      <c r="T131" s="315"/>
      <c r="U131" s="188">
        <f>SUM(R131-S131+T131)</f>
        <v>0</v>
      </c>
      <c r="V131" s="188"/>
      <c r="W131" s="281"/>
    </row>
    <row r="132" spans="1:23" s="13" customFormat="1" ht="15" customHeight="1" x14ac:dyDescent="0.2">
      <c r="A132" s="67"/>
      <c r="B132" s="43"/>
      <c r="C132" s="44">
        <v>2480</v>
      </c>
      <c r="D132" s="45" t="s">
        <v>81</v>
      </c>
      <c r="E132" s="46"/>
      <c r="F132" s="46"/>
      <c r="G132" s="92"/>
      <c r="H132" s="93"/>
      <c r="I132" s="162">
        <f t="shared" si="101"/>
        <v>6160950</v>
      </c>
      <c r="J132" s="163"/>
      <c r="K132" s="181">
        <f t="shared" si="102"/>
        <v>8707340</v>
      </c>
      <c r="L132" s="312">
        <f t="shared" si="103"/>
        <v>8703954.8499999996</v>
      </c>
      <c r="M132" s="302">
        <v>6160950</v>
      </c>
      <c r="N132" s="313"/>
      <c r="O132" s="188">
        <f>30000+201500+82790+270100+135000+350000+1027000+450000</f>
        <v>2546390</v>
      </c>
      <c r="P132" s="188">
        <f t="shared" si="104"/>
        <v>8707340</v>
      </c>
      <c r="Q132" s="309">
        <v>8703954.8499999996</v>
      </c>
      <c r="R132" s="225"/>
      <c r="S132" s="315"/>
      <c r="T132" s="315"/>
      <c r="U132" s="188"/>
      <c r="V132" s="188"/>
      <c r="W132" s="281"/>
    </row>
    <row r="133" spans="1:23" s="12" customFormat="1" ht="15" hidden="1" customHeight="1" x14ac:dyDescent="0.2">
      <c r="A133" s="67"/>
      <c r="B133" s="43"/>
      <c r="C133" s="44">
        <v>6569</v>
      </c>
      <c r="D133" s="45" t="s">
        <v>81</v>
      </c>
      <c r="E133" s="46"/>
      <c r="F133" s="46">
        <v>8442300</v>
      </c>
      <c r="G133" s="92"/>
      <c r="H133" s="93"/>
      <c r="I133" s="162">
        <f t="shared" si="101"/>
        <v>0</v>
      </c>
      <c r="J133" s="163"/>
      <c r="K133" s="181">
        <f t="shared" si="102"/>
        <v>0</v>
      </c>
      <c r="L133" s="312">
        <f t="shared" si="103"/>
        <v>0</v>
      </c>
      <c r="M133" s="302"/>
      <c r="N133" s="313"/>
      <c r="O133" s="313"/>
      <c r="P133" s="188">
        <f t="shared" si="104"/>
        <v>0</v>
      </c>
      <c r="Q133" s="309"/>
      <c r="R133" s="225"/>
      <c r="S133" s="315"/>
      <c r="T133" s="315"/>
      <c r="U133" s="188"/>
      <c r="V133" s="188"/>
      <c r="W133" s="281"/>
    </row>
    <row r="134" spans="1:23" s="12" customFormat="1" ht="15" hidden="1" customHeight="1" x14ac:dyDescent="0.2">
      <c r="A134" s="67"/>
      <c r="B134" s="43"/>
      <c r="C134" s="44">
        <v>2800</v>
      </c>
      <c r="D134" s="45" t="s">
        <v>81</v>
      </c>
      <c r="E134" s="46"/>
      <c r="F134" s="46"/>
      <c r="G134" s="92"/>
      <c r="H134" s="93"/>
      <c r="I134" s="162">
        <f t="shared" si="101"/>
        <v>0</v>
      </c>
      <c r="J134" s="163"/>
      <c r="K134" s="181">
        <f t="shared" si="102"/>
        <v>0</v>
      </c>
      <c r="L134" s="312">
        <f t="shared" si="103"/>
        <v>0</v>
      </c>
      <c r="M134" s="302"/>
      <c r="N134" s="313"/>
      <c r="O134" s="313"/>
      <c r="P134" s="188">
        <f t="shared" si="104"/>
        <v>0</v>
      </c>
      <c r="Q134" s="309"/>
      <c r="R134" s="225"/>
      <c r="S134" s="315"/>
      <c r="T134" s="315"/>
      <c r="U134" s="188"/>
      <c r="V134" s="188"/>
      <c r="W134" s="281"/>
    </row>
    <row r="135" spans="1:23" s="12" customFormat="1" ht="15" hidden="1" customHeight="1" x14ac:dyDescent="0.2">
      <c r="A135" s="67"/>
      <c r="B135" s="43"/>
      <c r="C135" s="44">
        <v>6220</v>
      </c>
      <c r="D135" s="45" t="s">
        <v>81</v>
      </c>
      <c r="E135" s="46"/>
      <c r="F135" s="46"/>
      <c r="G135" s="92"/>
      <c r="H135" s="93"/>
      <c r="I135" s="162">
        <f t="shared" si="101"/>
        <v>0</v>
      </c>
      <c r="J135" s="163"/>
      <c r="K135" s="181">
        <f t="shared" si="102"/>
        <v>0</v>
      </c>
      <c r="L135" s="312">
        <f t="shared" si="103"/>
        <v>0</v>
      </c>
      <c r="M135" s="302"/>
      <c r="N135" s="313"/>
      <c r="O135" s="313"/>
      <c r="P135" s="188">
        <f t="shared" si="104"/>
        <v>0</v>
      </c>
      <c r="Q135" s="309"/>
      <c r="R135" s="225"/>
      <c r="S135" s="315"/>
      <c r="T135" s="315"/>
      <c r="U135" s="188"/>
      <c r="V135" s="188"/>
      <c r="W135" s="281"/>
    </row>
    <row r="136" spans="1:23" s="12" customFormat="1" ht="15" hidden="1" customHeight="1" x14ac:dyDescent="0.2">
      <c r="A136" s="67"/>
      <c r="B136" s="43"/>
      <c r="C136" s="44">
        <v>6229</v>
      </c>
      <c r="D136" s="45" t="s">
        <v>81</v>
      </c>
      <c r="E136" s="46"/>
      <c r="F136" s="46"/>
      <c r="G136" s="92"/>
      <c r="H136" s="93"/>
      <c r="I136" s="162">
        <f t="shared" si="101"/>
        <v>0</v>
      </c>
      <c r="J136" s="163"/>
      <c r="K136" s="181">
        <f t="shared" si="102"/>
        <v>0</v>
      </c>
      <c r="L136" s="312">
        <f t="shared" si="103"/>
        <v>0</v>
      </c>
      <c r="M136" s="302"/>
      <c r="N136" s="313"/>
      <c r="O136" s="313"/>
      <c r="P136" s="188">
        <f t="shared" si="104"/>
        <v>0</v>
      </c>
      <c r="Q136" s="309"/>
      <c r="R136" s="225"/>
      <c r="S136" s="315"/>
      <c r="T136" s="315"/>
      <c r="U136" s="188"/>
      <c r="V136" s="188"/>
      <c r="W136" s="281"/>
    </row>
    <row r="137" spans="1:23" s="12" customFormat="1" ht="15" hidden="1" customHeight="1" x14ac:dyDescent="0.2">
      <c r="A137" s="67"/>
      <c r="B137" s="43"/>
      <c r="C137" s="44">
        <v>6560</v>
      </c>
      <c r="D137" s="45" t="s">
        <v>81</v>
      </c>
      <c r="E137" s="46"/>
      <c r="F137" s="46"/>
      <c r="G137" s="92"/>
      <c r="H137" s="93"/>
      <c r="I137" s="162">
        <f>SUM(M137,R137)</f>
        <v>0</v>
      </c>
      <c r="J137" s="163"/>
      <c r="K137" s="181">
        <f t="shared" si="102"/>
        <v>0</v>
      </c>
      <c r="L137" s="312">
        <f t="shared" si="103"/>
        <v>0</v>
      </c>
      <c r="M137" s="302"/>
      <c r="N137" s="313"/>
      <c r="O137" s="313"/>
      <c r="P137" s="188">
        <f t="shared" si="104"/>
        <v>0</v>
      </c>
      <c r="Q137" s="309"/>
      <c r="R137" s="225"/>
      <c r="S137" s="315"/>
      <c r="T137" s="315"/>
      <c r="U137" s="188"/>
      <c r="V137" s="188"/>
      <c r="W137" s="281"/>
    </row>
    <row r="138" spans="1:23" s="12" customFormat="1" ht="15" hidden="1" customHeight="1" x14ac:dyDescent="0.2">
      <c r="A138" s="67"/>
      <c r="B138" s="43"/>
      <c r="C138" s="44">
        <v>6569</v>
      </c>
      <c r="D138" s="45" t="s">
        <v>81</v>
      </c>
      <c r="E138" s="46"/>
      <c r="F138" s="46"/>
      <c r="G138" s="92"/>
      <c r="H138" s="93"/>
      <c r="I138" s="162">
        <f>SUM(M138,R138)</f>
        <v>0</v>
      </c>
      <c r="J138" s="163"/>
      <c r="K138" s="181">
        <f t="shared" si="102"/>
        <v>0</v>
      </c>
      <c r="L138" s="312">
        <f t="shared" si="103"/>
        <v>0</v>
      </c>
      <c r="M138" s="302"/>
      <c r="N138" s="313"/>
      <c r="O138" s="313"/>
      <c r="P138" s="188">
        <f t="shared" si="104"/>
        <v>0</v>
      </c>
      <c r="Q138" s="309"/>
      <c r="R138" s="225"/>
      <c r="S138" s="315"/>
      <c r="T138" s="315"/>
      <c r="U138" s="188"/>
      <c r="V138" s="188"/>
      <c r="W138" s="281"/>
    </row>
    <row r="139" spans="1:23" s="12" customFormat="1" ht="15" customHeight="1" x14ac:dyDescent="0.2">
      <c r="A139" s="67"/>
      <c r="B139" s="43"/>
      <c r="C139" s="44">
        <v>2480</v>
      </c>
      <c r="D139" s="45" t="s">
        <v>41</v>
      </c>
      <c r="E139" s="46"/>
      <c r="F139" s="46"/>
      <c r="G139" s="92"/>
      <c r="H139" s="93"/>
      <c r="I139" s="162">
        <f t="shared" si="101"/>
        <v>5168000</v>
      </c>
      <c r="J139" s="163"/>
      <c r="K139" s="181">
        <f t="shared" si="102"/>
        <v>5915465</v>
      </c>
      <c r="L139" s="312">
        <f t="shared" si="103"/>
        <v>5915465</v>
      </c>
      <c r="M139" s="302">
        <v>5168000</v>
      </c>
      <c r="N139" s="188"/>
      <c r="O139" s="188">
        <f>7000+154776+146300+3000+14000+9000+65000+5700+62700+25000+100000+51500+103489</f>
        <v>747465</v>
      </c>
      <c r="P139" s="188">
        <f t="shared" si="104"/>
        <v>5915465</v>
      </c>
      <c r="Q139" s="309">
        <v>5915465</v>
      </c>
      <c r="R139" s="225"/>
      <c r="S139" s="315"/>
      <c r="T139" s="315"/>
      <c r="U139" s="188"/>
      <c r="V139" s="188"/>
      <c r="W139" s="281"/>
    </row>
    <row r="140" spans="1:23" s="12" customFormat="1" ht="15" hidden="1" customHeight="1" x14ac:dyDescent="0.2">
      <c r="A140" s="67"/>
      <c r="B140" s="43"/>
      <c r="C140" s="44">
        <v>6220</v>
      </c>
      <c r="D140" s="45" t="s">
        <v>41</v>
      </c>
      <c r="E140" s="46"/>
      <c r="F140" s="46"/>
      <c r="G140" s="92"/>
      <c r="H140" s="93"/>
      <c r="I140" s="162">
        <f t="shared" si="101"/>
        <v>0</v>
      </c>
      <c r="J140" s="163"/>
      <c r="K140" s="181">
        <f t="shared" si="102"/>
        <v>0</v>
      </c>
      <c r="L140" s="312">
        <f t="shared" si="103"/>
        <v>0</v>
      </c>
      <c r="M140" s="302"/>
      <c r="N140" s="313"/>
      <c r="O140" s="188"/>
      <c r="P140" s="188">
        <f t="shared" si="104"/>
        <v>0</v>
      </c>
      <c r="Q140" s="309"/>
      <c r="R140" s="225"/>
      <c r="S140" s="315">
        <f>51500+51500</f>
        <v>103000</v>
      </c>
      <c r="T140" s="315">
        <v>103000</v>
      </c>
      <c r="U140" s="188"/>
      <c r="V140" s="188"/>
      <c r="W140" s="281"/>
    </row>
    <row r="141" spans="1:23" s="12" customFormat="1" ht="15" hidden="1" customHeight="1" x14ac:dyDescent="0.2">
      <c r="A141" s="67"/>
      <c r="B141" s="43"/>
      <c r="C141" s="44">
        <v>6560</v>
      </c>
      <c r="D141" s="45" t="s">
        <v>41</v>
      </c>
      <c r="E141" s="46"/>
      <c r="F141" s="46"/>
      <c r="G141" s="92"/>
      <c r="H141" s="93"/>
      <c r="I141" s="162"/>
      <c r="J141" s="163"/>
      <c r="K141" s="181">
        <f t="shared" si="102"/>
        <v>0</v>
      </c>
      <c r="L141" s="312">
        <f t="shared" si="103"/>
        <v>0</v>
      </c>
      <c r="M141" s="302"/>
      <c r="N141" s="313"/>
      <c r="O141" s="313"/>
      <c r="P141" s="188">
        <f t="shared" si="104"/>
        <v>0</v>
      </c>
      <c r="Q141" s="309"/>
      <c r="R141" s="225"/>
      <c r="S141" s="315"/>
      <c r="T141" s="315"/>
      <c r="U141" s="188"/>
      <c r="V141" s="188"/>
      <c r="W141" s="281"/>
    </row>
    <row r="142" spans="1:23" s="12" customFormat="1" ht="15" customHeight="1" x14ac:dyDescent="0.2">
      <c r="A142" s="67"/>
      <c r="B142" s="43"/>
      <c r="C142" s="44">
        <v>2480</v>
      </c>
      <c r="D142" s="45" t="s">
        <v>77</v>
      </c>
      <c r="E142" s="46"/>
      <c r="F142" s="46"/>
      <c r="G142" s="92"/>
      <c r="H142" s="93"/>
      <c r="I142" s="162">
        <f t="shared" si="101"/>
        <v>1000000</v>
      </c>
      <c r="J142" s="163"/>
      <c r="K142" s="181">
        <f t="shared" si="102"/>
        <v>1091000</v>
      </c>
      <c r="L142" s="312">
        <f t="shared" si="103"/>
        <v>1091000</v>
      </c>
      <c r="M142" s="302">
        <v>1000000</v>
      </c>
      <c r="N142" s="313"/>
      <c r="O142" s="188">
        <f>5000+25600+10400+50000</f>
        <v>91000</v>
      </c>
      <c r="P142" s="188">
        <f t="shared" si="104"/>
        <v>1091000</v>
      </c>
      <c r="Q142" s="309">
        <v>1091000</v>
      </c>
      <c r="R142" s="225"/>
      <c r="S142" s="315"/>
      <c r="T142" s="315"/>
      <c r="U142" s="188"/>
      <c r="V142" s="188"/>
      <c r="W142" s="281"/>
    </row>
    <row r="143" spans="1:23" s="12" customFormat="1" ht="15" hidden="1" customHeight="1" x14ac:dyDescent="0.2">
      <c r="A143" s="67"/>
      <c r="B143" s="43"/>
      <c r="C143" s="44">
        <v>6220</v>
      </c>
      <c r="D143" s="45" t="s">
        <v>77</v>
      </c>
      <c r="E143" s="46"/>
      <c r="F143" s="46"/>
      <c r="G143" s="92"/>
      <c r="H143" s="93"/>
      <c r="I143" s="162"/>
      <c r="J143" s="163"/>
      <c r="K143" s="181">
        <f t="shared" si="102"/>
        <v>0</v>
      </c>
      <c r="L143" s="312">
        <f t="shared" si="103"/>
        <v>0</v>
      </c>
      <c r="M143" s="302"/>
      <c r="N143" s="313"/>
      <c r="O143" s="188"/>
      <c r="P143" s="188">
        <f t="shared" si="104"/>
        <v>0</v>
      </c>
      <c r="Q143" s="309"/>
      <c r="R143" s="225"/>
      <c r="S143" s="315"/>
      <c r="T143" s="315"/>
      <c r="U143" s="188">
        <f t="shared" ref="U143" si="105">SUM(R143-S143+T143)</f>
        <v>0</v>
      </c>
      <c r="V143" s="188"/>
      <c r="W143" s="281"/>
    </row>
    <row r="144" spans="1:23" s="12" customFormat="1" ht="15" customHeight="1" x14ac:dyDescent="0.2">
      <c r="A144" s="67"/>
      <c r="B144" s="43"/>
      <c r="C144" s="91">
        <v>6560</v>
      </c>
      <c r="D144" s="45" t="s">
        <v>77</v>
      </c>
      <c r="E144" s="46"/>
      <c r="F144" s="46"/>
      <c r="G144" s="92"/>
      <c r="H144" s="93"/>
      <c r="I144" s="162">
        <f t="shared" si="101"/>
        <v>8460975</v>
      </c>
      <c r="J144" s="163"/>
      <c r="K144" s="181">
        <f t="shared" si="102"/>
        <v>8160975</v>
      </c>
      <c r="L144" s="312">
        <f t="shared" si="103"/>
        <v>8160975</v>
      </c>
      <c r="M144" s="302"/>
      <c r="N144" s="313"/>
      <c r="O144" s="188"/>
      <c r="P144" s="188"/>
      <c r="Q144" s="309"/>
      <c r="R144" s="225">
        <v>8460975</v>
      </c>
      <c r="S144" s="315">
        <v>300000</v>
      </c>
      <c r="T144" s="315"/>
      <c r="U144" s="188">
        <f t="shared" ref="U144" si="106">SUM(R144-S144+T144)</f>
        <v>8160975</v>
      </c>
      <c r="V144" s="331">
        <v>8160975</v>
      </c>
      <c r="W144" s="281"/>
    </row>
    <row r="145" spans="1:23" s="12" customFormat="1" ht="15" customHeight="1" x14ac:dyDescent="0.2">
      <c r="A145" s="67"/>
      <c r="B145" s="43"/>
      <c r="C145" s="154">
        <v>2480</v>
      </c>
      <c r="D145" s="95" t="s">
        <v>61</v>
      </c>
      <c r="E145" s="46"/>
      <c r="F145" s="46"/>
      <c r="G145" s="92"/>
      <c r="H145" s="93"/>
      <c r="I145" s="162">
        <f t="shared" si="101"/>
        <v>7741350</v>
      </c>
      <c r="J145" s="163"/>
      <c r="K145" s="181">
        <f t="shared" si="102"/>
        <v>9103250</v>
      </c>
      <c r="L145" s="312">
        <f t="shared" si="103"/>
        <v>9103250</v>
      </c>
      <c r="M145" s="302">
        <v>7741350</v>
      </c>
      <c r="N145" s="313"/>
      <c r="O145" s="188">
        <f>260800+110700+130400+430000+300000+130000</f>
        <v>1361900</v>
      </c>
      <c r="P145" s="188">
        <f t="shared" si="104"/>
        <v>9103250</v>
      </c>
      <c r="Q145" s="309">
        <v>9103250</v>
      </c>
      <c r="R145" s="225"/>
      <c r="S145" s="315"/>
      <c r="T145" s="315"/>
      <c r="U145" s="188"/>
      <c r="V145" s="188"/>
      <c r="W145" s="281"/>
    </row>
    <row r="146" spans="1:23" s="12" customFormat="1" ht="15" hidden="1" customHeight="1" x14ac:dyDescent="0.2">
      <c r="A146" s="67"/>
      <c r="B146" s="43"/>
      <c r="C146" s="154">
        <v>6220</v>
      </c>
      <c r="D146" s="95" t="s">
        <v>61</v>
      </c>
      <c r="E146" s="46"/>
      <c r="F146" s="46"/>
      <c r="G146" s="92"/>
      <c r="H146" s="93"/>
      <c r="I146" s="162">
        <f t="shared" si="101"/>
        <v>0</v>
      </c>
      <c r="J146" s="163"/>
      <c r="K146" s="181">
        <f t="shared" si="102"/>
        <v>0</v>
      </c>
      <c r="L146" s="312">
        <f t="shared" si="103"/>
        <v>0</v>
      </c>
      <c r="M146" s="302"/>
      <c r="N146" s="313"/>
      <c r="O146" s="188"/>
      <c r="P146" s="188">
        <f t="shared" si="104"/>
        <v>0</v>
      </c>
      <c r="Q146" s="309"/>
      <c r="R146" s="225"/>
      <c r="S146" s="315"/>
      <c r="T146" s="315"/>
      <c r="U146" s="188">
        <f t="shared" ref="U146" si="107">SUM(R146-S146+T146)</f>
        <v>0</v>
      </c>
      <c r="V146" s="188"/>
      <c r="W146" s="281"/>
    </row>
    <row r="147" spans="1:23" s="12" customFormat="1" ht="15" customHeight="1" x14ac:dyDescent="0.2">
      <c r="A147" s="67"/>
      <c r="B147" s="43"/>
      <c r="C147" s="44">
        <v>6560</v>
      </c>
      <c r="D147" s="95" t="s">
        <v>61</v>
      </c>
      <c r="E147" s="46"/>
      <c r="F147" s="46"/>
      <c r="G147" s="92"/>
      <c r="H147" s="93"/>
      <c r="I147" s="162">
        <f t="shared" si="101"/>
        <v>1838300</v>
      </c>
      <c r="J147" s="163"/>
      <c r="K147" s="181">
        <f t="shared" si="102"/>
        <v>578000</v>
      </c>
      <c r="L147" s="312">
        <f t="shared" si="103"/>
        <v>412271.64</v>
      </c>
      <c r="M147" s="302"/>
      <c r="N147" s="313"/>
      <c r="O147" s="188"/>
      <c r="P147" s="188"/>
      <c r="Q147" s="309"/>
      <c r="R147" s="225">
        <v>1838300</v>
      </c>
      <c r="S147" s="315">
        <f>1130300+130000</f>
        <v>1260300</v>
      </c>
      <c r="T147" s="315"/>
      <c r="U147" s="188">
        <f t="shared" ref="U147" si="108">SUM(R147-S147+T147)</f>
        <v>578000</v>
      </c>
      <c r="V147" s="188">
        <v>412271.64</v>
      </c>
      <c r="W147" s="281"/>
    </row>
    <row r="148" spans="1:23" s="12" customFormat="1" ht="5.25" customHeight="1" x14ac:dyDescent="0.2">
      <c r="A148" s="67"/>
      <c r="B148" s="43"/>
      <c r="C148" s="44"/>
      <c r="D148" s="45"/>
      <c r="E148" s="46"/>
      <c r="F148" s="46"/>
      <c r="G148" s="92"/>
      <c r="H148" s="95"/>
      <c r="I148" s="162"/>
      <c r="J148" s="163"/>
      <c r="K148" s="181"/>
      <c r="L148" s="312"/>
      <c r="M148" s="302"/>
      <c r="N148" s="313"/>
      <c r="O148" s="313"/>
      <c r="P148" s="188"/>
      <c r="Q148" s="309"/>
      <c r="R148" s="225"/>
      <c r="S148" s="315"/>
      <c r="T148" s="315"/>
      <c r="U148" s="188"/>
      <c r="V148" s="188"/>
      <c r="W148" s="281"/>
    </row>
    <row r="149" spans="1:23" s="31" customFormat="1" ht="15" customHeight="1" x14ac:dyDescent="0.2">
      <c r="A149" s="79"/>
      <c r="B149" s="55"/>
      <c r="C149" s="56"/>
      <c r="D149" s="57"/>
      <c r="E149" s="58" t="s">
        <v>0</v>
      </c>
      <c r="F149" s="58">
        <f>SUM(F150:F150)</f>
        <v>0</v>
      </c>
      <c r="G149" s="58">
        <f>SUM(G150:G150)</f>
        <v>0</v>
      </c>
      <c r="H149" s="58">
        <f>SUM(H150:H150)</f>
        <v>0</v>
      </c>
      <c r="I149" s="183">
        <f>SUM(I150:J159)</f>
        <v>6712850</v>
      </c>
      <c r="J149" s="184">
        <v>0</v>
      </c>
      <c r="K149" s="191">
        <f>SUM(K150:K159)</f>
        <v>8261132</v>
      </c>
      <c r="L149" s="312">
        <f>SUM(L150:L159)</f>
        <v>8261132</v>
      </c>
      <c r="M149" s="302">
        <f>SUM(M150:M159)</f>
        <v>6362850</v>
      </c>
      <c r="N149" s="188">
        <f t="shared" ref="N149:V149" si="109">SUM(N150:N159)</f>
        <v>0</v>
      </c>
      <c r="O149" s="188">
        <f t="shared" si="109"/>
        <v>1326000</v>
      </c>
      <c r="P149" s="188">
        <f t="shared" si="109"/>
        <v>7688850</v>
      </c>
      <c r="Q149" s="188">
        <f t="shared" si="109"/>
        <v>7688850</v>
      </c>
      <c r="R149" s="225">
        <f>SUM(R150:R159)</f>
        <v>350000</v>
      </c>
      <c r="S149" s="315">
        <f t="shared" ref="S149:T149" si="110">SUM(S150:S159)</f>
        <v>0</v>
      </c>
      <c r="T149" s="315">
        <f t="shared" si="110"/>
        <v>222282</v>
      </c>
      <c r="U149" s="188">
        <f t="shared" si="109"/>
        <v>572282</v>
      </c>
      <c r="V149" s="188">
        <f t="shared" si="109"/>
        <v>572282</v>
      </c>
      <c r="W149" s="281"/>
    </row>
    <row r="150" spans="1:23" s="12" customFormat="1" ht="15" customHeight="1" x14ac:dyDescent="0.2">
      <c r="A150" s="67"/>
      <c r="B150" s="43"/>
      <c r="C150" s="44">
        <v>2480</v>
      </c>
      <c r="D150" s="45" t="s">
        <v>42</v>
      </c>
      <c r="E150" s="46"/>
      <c r="F150" s="46"/>
      <c r="G150" s="92"/>
      <c r="H150" s="93"/>
      <c r="I150" s="162">
        <f t="shared" ref="I150:I159" si="111">SUM(M150,R150)</f>
        <v>6362850</v>
      </c>
      <c r="J150" s="163"/>
      <c r="K150" s="181">
        <f t="shared" ref="K150:K159" si="112">SUM(P150,U150)</f>
        <v>7688850</v>
      </c>
      <c r="L150" s="312">
        <f t="shared" ref="L150:L157" si="113">SUM(Q150,V150)</f>
        <v>7688850</v>
      </c>
      <c r="M150" s="302">
        <v>6362850</v>
      </c>
      <c r="N150" s="188"/>
      <c r="O150" s="188">
        <f>1700+20000+10000+363400+184800+90000+350000+6100+300000</f>
        <v>1326000</v>
      </c>
      <c r="P150" s="188">
        <f>SUM(M150-N150+O150)</f>
        <v>7688850</v>
      </c>
      <c r="Q150" s="309">
        <v>7688850</v>
      </c>
      <c r="R150" s="225"/>
      <c r="S150" s="315"/>
      <c r="T150" s="315"/>
      <c r="U150" s="188"/>
      <c r="V150" s="188"/>
      <c r="W150" s="281"/>
    </row>
    <row r="151" spans="1:23" s="12" customFormat="1" ht="4.5" hidden="1" customHeight="1" x14ac:dyDescent="0.2">
      <c r="A151" s="67"/>
      <c r="B151" s="43"/>
      <c r="C151" s="44"/>
      <c r="D151" s="45" t="s">
        <v>42</v>
      </c>
      <c r="E151" s="46"/>
      <c r="F151" s="46"/>
      <c r="G151" s="92"/>
      <c r="H151" s="95"/>
      <c r="I151" s="162">
        <f t="shared" si="111"/>
        <v>0</v>
      </c>
      <c r="J151" s="163"/>
      <c r="K151" s="181">
        <f t="shared" si="112"/>
        <v>0</v>
      </c>
      <c r="L151" s="312">
        <f t="shared" si="113"/>
        <v>0</v>
      </c>
      <c r="M151" s="302"/>
      <c r="N151" s="313"/>
      <c r="O151" s="313"/>
      <c r="P151" s="188"/>
      <c r="Q151" s="309"/>
      <c r="R151" s="225"/>
      <c r="S151" s="314"/>
      <c r="T151" s="314"/>
      <c r="U151" s="188">
        <f t="shared" ref="U151:U156" si="114">SUM(R151-S151+T151)</f>
        <v>0</v>
      </c>
      <c r="V151" s="188"/>
      <c r="W151" s="281"/>
    </row>
    <row r="152" spans="1:23" s="12" customFormat="1" ht="15" hidden="1" customHeight="1" x14ac:dyDescent="0.2">
      <c r="A152" s="67"/>
      <c r="B152" s="50">
        <v>92120</v>
      </c>
      <c r="C152" s="51"/>
      <c r="D152" s="45" t="s">
        <v>42</v>
      </c>
      <c r="E152" s="53" t="s">
        <v>21</v>
      </c>
      <c r="F152" s="54">
        <f>SUM(F154)</f>
        <v>3600000</v>
      </c>
      <c r="G152" s="54">
        <f>SUM(G154)</f>
        <v>0</v>
      </c>
      <c r="H152" s="54">
        <f>SUM(H154)</f>
        <v>0</v>
      </c>
      <c r="I152" s="162">
        <f t="shared" si="111"/>
        <v>0</v>
      </c>
      <c r="J152" s="163"/>
      <c r="K152" s="181">
        <f t="shared" si="112"/>
        <v>0</v>
      </c>
      <c r="L152" s="312">
        <f t="shared" si="113"/>
        <v>0</v>
      </c>
      <c r="M152" s="302"/>
      <c r="N152" s="313"/>
      <c r="O152" s="313"/>
      <c r="P152" s="188"/>
      <c r="Q152" s="309"/>
      <c r="R152" s="225"/>
      <c r="S152" s="314"/>
      <c r="T152" s="314"/>
      <c r="U152" s="188">
        <f t="shared" si="114"/>
        <v>0</v>
      </c>
      <c r="V152" s="188"/>
      <c r="W152" s="281"/>
    </row>
    <row r="153" spans="1:23" s="12" customFormat="1" ht="15" hidden="1" customHeight="1" x14ac:dyDescent="0.2">
      <c r="A153" s="67"/>
      <c r="B153" s="43"/>
      <c r="C153" s="44"/>
      <c r="D153" s="45" t="s">
        <v>42</v>
      </c>
      <c r="E153" s="70" t="s">
        <v>22</v>
      </c>
      <c r="F153" s="46"/>
      <c r="G153" s="46"/>
      <c r="H153" s="46"/>
      <c r="I153" s="162">
        <f t="shared" si="111"/>
        <v>0</v>
      </c>
      <c r="J153" s="163"/>
      <c r="K153" s="181">
        <f t="shared" si="112"/>
        <v>0</v>
      </c>
      <c r="L153" s="312">
        <f t="shared" si="113"/>
        <v>0</v>
      </c>
      <c r="M153" s="302"/>
      <c r="N153" s="313"/>
      <c r="O153" s="313"/>
      <c r="P153" s="188"/>
      <c r="Q153" s="309"/>
      <c r="R153" s="225"/>
      <c r="S153" s="314"/>
      <c r="T153" s="314"/>
      <c r="U153" s="188">
        <f t="shared" si="114"/>
        <v>0</v>
      </c>
      <c r="V153" s="188"/>
      <c r="W153" s="281"/>
    </row>
    <row r="154" spans="1:23" s="12" customFormat="1" ht="15" hidden="1" customHeight="1" x14ac:dyDescent="0.2">
      <c r="A154" s="67"/>
      <c r="B154" s="43"/>
      <c r="C154" s="44"/>
      <c r="D154" s="45" t="s">
        <v>42</v>
      </c>
      <c r="E154" s="46" t="s">
        <v>1</v>
      </c>
      <c r="F154" s="46">
        <f>SUM(F155:F155)</f>
        <v>3600000</v>
      </c>
      <c r="G154" s="46">
        <f>SUM(G155:G155)</f>
        <v>0</v>
      </c>
      <c r="H154" s="46">
        <f>SUM(H155:H155)</f>
        <v>0</v>
      </c>
      <c r="I154" s="162">
        <f t="shared" si="111"/>
        <v>0</v>
      </c>
      <c r="J154" s="163"/>
      <c r="K154" s="181">
        <f t="shared" si="112"/>
        <v>0</v>
      </c>
      <c r="L154" s="312">
        <f t="shared" si="113"/>
        <v>0</v>
      </c>
      <c r="M154" s="302"/>
      <c r="N154" s="313"/>
      <c r="O154" s="313"/>
      <c r="P154" s="188"/>
      <c r="Q154" s="309"/>
      <c r="R154" s="225"/>
      <c r="S154" s="314"/>
      <c r="T154" s="314"/>
      <c r="U154" s="188">
        <f t="shared" si="114"/>
        <v>0</v>
      </c>
      <c r="V154" s="188"/>
      <c r="W154" s="281"/>
    </row>
    <row r="155" spans="1:23" s="31" customFormat="1" ht="15" hidden="1" customHeight="1" x14ac:dyDescent="0.2">
      <c r="A155" s="79"/>
      <c r="B155" s="55"/>
      <c r="C155" s="56">
        <v>6220</v>
      </c>
      <c r="D155" s="45" t="s">
        <v>42</v>
      </c>
      <c r="E155" s="58"/>
      <c r="F155" s="58">
        <v>3600000</v>
      </c>
      <c r="G155" s="96"/>
      <c r="H155" s="97"/>
      <c r="I155" s="162">
        <f t="shared" si="111"/>
        <v>0</v>
      </c>
      <c r="J155" s="184"/>
      <c r="K155" s="181">
        <f t="shared" si="112"/>
        <v>0</v>
      </c>
      <c r="L155" s="312">
        <f t="shared" si="113"/>
        <v>0</v>
      </c>
      <c r="M155" s="302"/>
      <c r="N155" s="313"/>
      <c r="O155" s="313"/>
      <c r="P155" s="188"/>
      <c r="Q155" s="309"/>
      <c r="R155" s="225"/>
      <c r="S155" s="314"/>
      <c r="T155" s="314"/>
      <c r="U155" s="188">
        <f t="shared" si="114"/>
        <v>0</v>
      </c>
      <c r="V155" s="188"/>
      <c r="W155" s="281"/>
    </row>
    <row r="156" spans="1:23" s="31" customFormat="1" ht="15" customHeight="1" x14ac:dyDescent="0.2">
      <c r="A156" s="79"/>
      <c r="B156" s="55"/>
      <c r="C156" s="56">
        <v>2800</v>
      </c>
      <c r="D156" s="45" t="s">
        <v>42</v>
      </c>
      <c r="E156" s="58"/>
      <c r="F156" s="58"/>
      <c r="G156" s="96"/>
      <c r="H156" s="97"/>
      <c r="I156" s="162">
        <f t="shared" si="111"/>
        <v>350000</v>
      </c>
      <c r="J156" s="184"/>
      <c r="K156" s="181">
        <f t="shared" si="112"/>
        <v>500000</v>
      </c>
      <c r="L156" s="312">
        <f t="shared" si="113"/>
        <v>500000</v>
      </c>
      <c r="M156" s="302"/>
      <c r="N156" s="313"/>
      <c r="O156" s="313"/>
      <c r="P156" s="188"/>
      <c r="Q156" s="309"/>
      <c r="R156" s="225">
        <v>350000</v>
      </c>
      <c r="S156" s="315"/>
      <c r="T156" s="315">
        <v>150000</v>
      </c>
      <c r="U156" s="188">
        <f t="shared" si="114"/>
        <v>500000</v>
      </c>
      <c r="V156" s="188">
        <v>500000</v>
      </c>
      <c r="W156" s="281"/>
    </row>
    <row r="157" spans="1:23" s="31" customFormat="1" ht="15" customHeight="1" x14ac:dyDescent="0.2">
      <c r="A157" s="79"/>
      <c r="B157" s="55"/>
      <c r="C157" s="56">
        <v>6220</v>
      </c>
      <c r="D157" s="45" t="s">
        <v>42</v>
      </c>
      <c r="E157" s="58"/>
      <c r="F157" s="58"/>
      <c r="G157" s="96"/>
      <c r="H157" s="97"/>
      <c r="I157" s="162"/>
      <c r="J157" s="184"/>
      <c r="K157" s="181">
        <f t="shared" si="112"/>
        <v>72282</v>
      </c>
      <c r="L157" s="312">
        <f t="shared" si="113"/>
        <v>72282</v>
      </c>
      <c r="M157" s="302"/>
      <c r="N157" s="313"/>
      <c r="O157" s="313"/>
      <c r="P157" s="188"/>
      <c r="Q157" s="309"/>
      <c r="R157" s="225"/>
      <c r="S157" s="314"/>
      <c r="T157" s="315">
        <v>72282</v>
      </c>
      <c r="U157" s="188">
        <f t="shared" ref="U157" si="115">SUM(R157-S157+T157)</f>
        <v>72282</v>
      </c>
      <c r="V157" s="188">
        <v>72282</v>
      </c>
      <c r="W157" s="281"/>
    </row>
    <row r="158" spans="1:23" s="31" customFormat="1" ht="15" hidden="1" customHeight="1" x14ac:dyDescent="0.2">
      <c r="A158" s="79"/>
      <c r="B158" s="55"/>
      <c r="C158" s="56">
        <v>6560</v>
      </c>
      <c r="D158" s="45" t="s">
        <v>42</v>
      </c>
      <c r="E158" s="58"/>
      <c r="F158" s="58"/>
      <c r="G158" s="96"/>
      <c r="H158" s="97"/>
      <c r="I158" s="162">
        <f t="shared" si="111"/>
        <v>0</v>
      </c>
      <c r="J158" s="184"/>
      <c r="K158" s="181">
        <f t="shared" si="112"/>
        <v>0</v>
      </c>
      <c r="L158" s="185"/>
      <c r="M158" s="191"/>
      <c r="N158" s="164"/>
      <c r="O158" s="164"/>
      <c r="P158" s="162"/>
      <c r="Q158" s="205"/>
      <c r="R158" s="224"/>
      <c r="S158" s="157"/>
      <c r="T158" s="156"/>
      <c r="U158" s="162">
        <f t="shared" ref="U158" si="116">SUM(R158-S158+T158)</f>
        <v>0</v>
      </c>
      <c r="V158" s="183"/>
      <c r="W158" s="301"/>
    </row>
    <row r="159" spans="1:23" s="31" customFormat="1" ht="15" hidden="1" customHeight="1" x14ac:dyDescent="0.2">
      <c r="A159" s="79"/>
      <c r="B159" s="55"/>
      <c r="C159" s="56">
        <v>6569</v>
      </c>
      <c r="D159" s="45" t="s">
        <v>42</v>
      </c>
      <c r="E159" s="58"/>
      <c r="F159" s="58"/>
      <c r="G159" s="96"/>
      <c r="H159" s="97"/>
      <c r="I159" s="162">
        <f t="shared" si="111"/>
        <v>0</v>
      </c>
      <c r="J159" s="184"/>
      <c r="K159" s="181">
        <f t="shared" si="112"/>
        <v>0</v>
      </c>
      <c r="L159" s="185"/>
      <c r="M159" s="191"/>
      <c r="N159" s="164"/>
      <c r="O159" s="164"/>
      <c r="P159" s="173"/>
      <c r="Q159" s="206"/>
      <c r="R159" s="226"/>
      <c r="S159" s="186"/>
      <c r="T159" s="211"/>
      <c r="U159" s="173">
        <f t="shared" ref="U159" si="117">SUM(R159-S159+T159)</f>
        <v>0</v>
      </c>
      <c r="V159" s="183"/>
      <c r="W159" s="301"/>
    </row>
    <row r="160" spans="1:23" s="31" customFormat="1" ht="15" hidden="1" customHeight="1" x14ac:dyDescent="0.2">
      <c r="A160" s="79"/>
      <c r="B160" s="61">
        <v>92120</v>
      </c>
      <c r="C160" s="62"/>
      <c r="D160" s="63" t="s">
        <v>27</v>
      </c>
      <c r="E160" s="53" t="s">
        <v>21</v>
      </c>
      <c r="F160" s="64"/>
      <c r="G160" s="98"/>
      <c r="H160" s="99"/>
      <c r="I160" s="193">
        <f>SUM(I162)</f>
        <v>0</v>
      </c>
      <c r="J160" s="194">
        <v>0</v>
      </c>
      <c r="K160" s="196">
        <f>SUM(K162)</f>
        <v>0</v>
      </c>
      <c r="L160" s="218"/>
      <c r="M160" s="196">
        <f t="shared" ref="M160:U160" si="118">SUM(M162)</f>
        <v>0</v>
      </c>
      <c r="N160" s="195">
        <f t="shared" si="118"/>
        <v>0</v>
      </c>
      <c r="O160" s="195">
        <f t="shared" si="118"/>
        <v>0</v>
      </c>
      <c r="P160" s="162">
        <f t="shared" si="118"/>
        <v>0</v>
      </c>
      <c r="Q160" s="205"/>
      <c r="R160" s="224">
        <f t="shared" si="118"/>
        <v>0</v>
      </c>
      <c r="S160" s="167">
        <f t="shared" si="118"/>
        <v>0</v>
      </c>
      <c r="T160" s="203">
        <f t="shared" si="118"/>
        <v>0</v>
      </c>
      <c r="U160" s="162">
        <f t="shared" si="118"/>
        <v>0</v>
      </c>
      <c r="V160" s="193"/>
      <c r="W160" s="301"/>
    </row>
    <row r="161" spans="1:23" s="31" customFormat="1" ht="15" hidden="1" customHeight="1" x14ac:dyDescent="0.2">
      <c r="A161" s="79"/>
      <c r="B161" s="56"/>
      <c r="C161" s="56"/>
      <c r="D161" s="57"/>
      <c r="E161" s="70" t="s">
        <v>22</v>
      </c>
      <c r="F161" s="58"/>
      <c r="G161" s="96"/>
      <c r="H161" s="97"/>
      <c r="I161" s="183"/>
      <c r="J161" s="184"/>
      <c r="K161" s="191"/>
      <c r="L161" s="217"/>
      <c r="M161" s="191"/>
      <c r="N161" s="164"/>
      <c r="O161" s="164"/>
      <c r="P161" s="162"/>
      <c r="Q161" s="205"/>
      <c r="R161" s="224"/>
      <c r="S161" s="157"/>
      <c r="T161" s="157"/>
      <c r="U161" s="162"/>
      <c r="V161" s="183"/>
      <c r="W161" s="301"/>
    </row>
    <row r="162" spans="1:23" s="31" customFormat="1" ht="15" hidden="1" customHeight="1" x14ac:dyDescent="0.2">
      <c r="A162" s="79"/>
      <c r="B162" s="55"/>
      <c r="C162" s="56"/>
      <c r="D162" s="57"/>
      <c r="E162" s="58" t="s">
        <v>23</v>
      </c>
      <c r="F162" s="58"/>
      <c r="G162" s="96"/>
      <c r="H162" s="97"/>
      <c r="I162" s="183">
        <f>SUM(I163:I164)</f>
        <v>0</v>
      </c>
      <c r="J162" s="184">
        <v>0</v>
      </c>
      <c r="K162" s="191">
        <f>SUM(K163:K164)</f>
        <v>0</v>
      </c>
      <c r="L162" s="217"/>
      <c r="M162" s="191">
        <f t="shared" ref="M162:U162" si="119">SUM(M163:M164)</f>
        <v>0</v>
      </c>
      <c r="N162" s="164">
        <f t="shared" si="119"/>
        <v>0</v>
      </c>
      <c r="O162" s="164">
        <f t="shared" si="119"/>
        <v>0</v>
      </c>
      <c r="P162" s="162">
        <f t="shared" si="119"/>
        <v>0</v>
      </c>
      <c r="Q162" s="205"/>
      <c r="R162" s="224">
        <f t="shared" si="119"/>
        <v>0</v>
      </c>
      <c r="S162" s="167">
        <f t="shared" si="119"/>
        <v>0</v>
      </c>
      <c r="T162" s="203">
        <f t="shared" si="119"/>
        <v>0</v>
      </c>
      <c r="U162" s="162">
        <f t="shared" si="119"/>
        <v>0</v>
      </c>
      <c r="V162" s="183"/>
      <c r="W162" s="301"/>
    </row>
    <row r="163" spans="1:23" s="31" customFormat="1" ht="15" hidden="1" customHeight="1" x14ac:dyDescent="0.2">
      <c r="A163" s="79"/>
      <c r="B163" s="55"/>
      <c r="C163" s="56">
        <v>6567</v>
      </c>
      <c r="D163" s="57" t="s">
        <v>44</v>
      </c>
      <c r="E163" s="58"/>
      <c r="F163" s="58"/>
      <c r="G163" s="96"/>
      <c r="H163" s="97"/>
      <c r="I163" s="183">
        <f t="shared" ref="I163:I164" si="120">SUM(M163,R163)</f>
        <v>0</v>
      </c>
      <c r="J163" s="184"/>
      <c r="K163" s="191">
        <f>SUM(P163,U163)</f>
        <v>0</v>
      </c>
      <c r="L163" s="217"/>
      <c r="M163" s="191"/>
      <c r="N163" s="164"/>
      <c r="O163" s="164"/>
      <c r="P163" s="162">
        <v>0</v>
      </c>
      <c r="Q163" s="205"/>
      <c r="R163" s="224"/>
      <c r="S163" s="156"/>
      <c r="T163" s="157"/>
      <c r="U163" s="162">
        <f>SUM(R163-S163+T163)</f>
        <v>0</v>
      </c>
      <c r="V163" s="183"/>
      <c r="W163" s="301"/>
    </row>
    <row r="164" spans="1:23" s="31" customFormat="1" ht="15" hidden="1" customHeight="1" x14ac:dyDescent="0.2">
      <c r="A164" s="79"/>
      <c r="B164" s="55"/>
      <c r="C164" s="56">
        <v>6569</v>
      </c>
      <c r="D164" s="57" t="s">
        <v>44</v>
      </c>
      <c r="E164" s="58"/>
      <c r="F164" s="58"/>
      <c r="G164" s="96"/>
      <c r="H164" s="97"/>
      <c r="I164" s="183">
        <f t="shared" si="120"/>
        <v>0</v>
      </c>
      <c r="J164" s="184"/>
      <c r="K164" s="191">
        <f>SUM(P164,U164)</f>
        <v>0</v>
      </c>
      <c r="L164" s="217"/>
      <c r="M164" s="191"/>
      <c r="N164" s="164"/>
      <c r="O164" s="164"/>
      <c r="P164" s="162">
        <v>0</v>
      </c>
      <c r="Q164" s="205"/>
      <c r="R164" s="224"/>
      <c r="S164" s="156"/>
      <c r="T164" s="157"/>
      <c r="U164" s="162">
        <f>SUM(R164-S164+T164)</f>
        <v>0</v>
      </c>
      <c r="V164" s="183"/>
      <c r="W164" s="301"/>
    </row>
    <row r="165" spans="1:23" s="31" customFormat="1" ht="15" hidden="1" customHeight="1" x14ac:dyDescent="0.2">
      <c r="A165" s="79"/>
      <c r="B165" s="55"/>
      <c r="C165" s="56">
        <v>6569</v>
      </c>
      <c r="D165" s="57" t="s">
        <v>44</v>
      </c>
      <c r="E165" s="58"/>
      <c r="F165" s="58"/>
      <c r="G165" s="96"/>
      <c r="H165" s="97"/>
      <c r="I165" s="183">
        <f>SUM(M165,R165)</f>
        <v>0</v>
      </c>
      <c r="J165" s="184"/>
      <c r="K165" s="191">
        <f>SUM(P165,U165)</f>
        <v>0</v>
      </c>
      <c r="L165" s="217"/>
      <c r="M165" s="191"/>
      <c r="N165" s="164"/>
      <c r="O165" s="164"/>
      <c r="P165" s="162"/>
      <c r="Q165" s="205"/>
      <c r="R165" s="224"/>
      <c r="S165" s="157"/>
      <c r="T165" s="157"/>
      <c r="U165" s="162">
        <f>SUM(R165-S165+T165)</f>
        <v>0</v>
      </c>
      <c r="V165" s="183"/>
      <c r="W165" s="301"/>
    </row>
    <row r="166" spans="1:23" s="32" customFormat="1" ht="6" hidden="1" customHeight="1" x14ac:dyDescent="0.2">
      <c r="A166" s="100"/>
      <c r="B166" s="101"/>
      <c r="C166" s="102"/>
      <c r="D166" s="103"/>
      <c r="E166" s="104"/>
      <c r="F166" s="104"/>
      <c r="G166" s="105"/>
      <c r="H166" s="106"/>
      <c r="I166" s="192"/>
      <c r="J166" s="197"/>
      <c r="K166" s="199"/>
      <c r="L166" s="219"/>
      <c r="M166" s="199"/>
      <c r="N166" s="198"/>
      <c r="O166" s="198"/>
      <c r="P166" s="173"/>
      <c r="Q166" s="206"/>
      <c r="R166" s="226"/>
      <c r="S166" s="186"/>
      <c r="T166" s="186"/>
      <c r="U166" s="173"/>
      <c r="V166" s="192"/>
      <c r="W166" s="152"/>
    </row>
    <row r="167" spans="1:23" s="12" customFormat="1" ht="15" hidden="1" customHeight="1" x14ac:dyDescent="0.2">
      <c r="A167" s="14"/>
      <c r="B167" s="15"/>
      <c r="C167" s="16"/>
      <c r="D167" s="17" t="s">
        <v>9</v>
      </c>
      <c r="E167" s="18"/>
      <c r="F167" s="8">
        <f>SUM(F169:F170)</f>
        <v>0</v>
      </c>
      <c r="I167" s="288"/>
      <c r="J167" s="153"/>
      <c r="K167" s="288"/>
      <c r="L167" s="288"/>
      <c r="M167" s="288"/>
      <c r="N167" s="153"/>
      <c r="O167" s="153"/>
      <c r="P167" s="181">
        <f>SUM(M167-N167+O167)</f>
        <v>0</v>
      </c>
      <c r="Q167" s="163"/>
      <c r="R167" s="288"/>
      <c r="S167" s="153"/>
      <c r="T167" s="153"/>
      <c r="U167" s="181">
        <f>SUM(R167-S167+T167)</f>
        <v>0</v>
      </c>
      <c r="V167" s="288"/>
      <c r="W167" s="153"/>
    </row>
    <row r="168" spans="1:23" s="12" customFormat="1" ht="14.1" hidden="1" customHeight="1" x14ac:dyDescent="0.2">
      <c r="A168" s="14"/>
      <c r="B168" s="19"/>
      <c r="C168" s="20"/>
      <c r="D168" s="21" t="s">
        <v>22</v>
      </c>
      <c r="E168" s="22"/>
      <c r="F168" s="23"/>
      <c r="I168" s="288"/>
      <c r="J168" s="153"/>
      <c r="K168" s="288"/>
      <c r="L168" s="288"/>
      <c r="M168" s="288"/>
      <c r="N168" s="153"/>
      <c r="O168" s="153"/>
      <c r="P168" s="181">
        <f>SUM(M168-N168+O168)</f>
        <v>0</v>
      </c>
      <c r="Q168" s="163"/>
      <c r="R168" s="288"/>
      <c r="S168" s="153"/>
      <c r="T168" s="153"/>
      <c r="U168" s="181">
        <f>SUM(R168-S168+T168)</f>
        <v>0</v>
      </c>
      <c r="V168" s="288"/>
      <c r="W168" s="153"/>
    </row>
    <row r="169" spans="1:23" s="12" customFormat="1" ht="14.1" hidden="1" customHeight="1" x14ac:dyDescent="0.2">
      <c r="A169" s="14"/>
      <c r="B169" s="19"/>
      <c r="C169" s="20"/>
      <c r="D169" s="21"/>
      <c r="E169" s="24" t="s">
        <v>10</v>
      </c>
      <c r="F169" s="9">
        <f>SUM(F9)</f>
        <v>0</v>
      </c>
      <c r="I169" s="288"/>
      <c r="J169" s="153"/>
      <c r="K169" s="288"/>
      <c r="L169" s="288"/>
      <c r="M169" s="288"/>
      <c r="N169" s="153"/>
      <c r="O169" s="153"/>
      <c r="P169" s="181">
        <f>SUM(M169-N169+O169)</f>
        <v>0</v>
      </c>
      <c r="Q169" s="163"/>
      <c r="R169" s="288"/>
      <c r="S169" s="153"/>
      <c r="T169" s="153"/>
      <c r="U169" s="181">
        <f>SUM(R169-S169+T169)</f>
        <v>0</v>
      </c>
      <c r="V169" s="288"/>
      <c r="W169" s="153"/>
    </row>
    <row r="170" spans="1:23" s="12" customFormat="1" ht="14.1" hidden="1" customHeight="1" x14ac:dyDescent="0.2">
      <c r="A170" s="25"/>
      <c r="B170" s="26"/>
      <c r="C170" s="27"/>
      <c r="D170" s="28"/>
      <c r="E170" s="29" t="s">
        <v>11</v>
      </c>
      <c r="F170" s="11">
        <f>SUM(F10)</f>
        <v>0</v>
      </c>
      <c r="I170" s="288"/>
      <c r="J170" s="153"/>
      <c r="K170" s="288"/>
      <c r="L170" s="288"/>
      <c r="M170" s="288"/>
      <c r="N170" s="153"/>
      <c r="O170" s="153"/>
      <c r="P170" s="181">
        <f>SUM(M170-N170+O170)</f>
        <v>0</v>
      </c>
      <c r="Q170" s="163"/>
      <c r="R170" s="288"/>
      <c r="S170" s="153"/>
      <c r="T170" s="153"/>
      <c r="U170" s="181">
        <f>SUM(R170-S170+T170)</f>
        <v>0</v>
      </c>
      <c r="V170" s="288"/>
      <c r="W170" s="153"/>
    </row>
    <row r="171" spans="1:23" s="12" customFormat="1" hidden="1" x14ac:dyDescent="0.2">
      <c r="A171" s="13"/>
      <c r="B171" s="13"/>
      <c r="C171" s="30"/>
      <c r="D171" s="13"/>
      <c r="E171" s="13"/>
      <c r="F171" s="13"/>
      <c r="I171" s="288"/>
      <c r="J171" s="153"/>
      <c r="K171" s="288"/>
      <c r="L171" s="288"/>
      <c r="M171" s="288"/>
      <c r="N171" s="153"/>
      <c r="O171" s="153"/>
      <c r="P171" s="288"/>
      <c r="Q171" s="288"/>
      <c r="R171" s="288"/>
      <c r="S171" s="153"/>
      <c r="T171" s="153"/>
      <c r="U171" s="288"/>
      <c r="V171" s="288"/>
      <c r="W171" s="153"/>
    </row>
    <row r="172" spans="1:23" s="12" customFormat="1" hidden="1" x14ac:dyDescent="0.2">
      <c r="A172" s="13"/>
      <c r="B172" s="13"/>
      <c r="C172" s="30"/>
      <c r="D172" s="13"/>
      <c r="E172" s="13"/>
      <c r="F172" s="13"/>
      <c r="I172" s="288">
        <f>SUMIF(C28:C165,"&gt;6190",I28:I165)</f>
        <v>37434775</v>
      </c>
      <c r="J172" s="153"/>
      <c r="K172" s="288"/>
      <c r="L172" s="288"/>
      <c r="M172" s="288"/>
      <c r="N172" s="153"/>
      <c r="O172" s="153"/>
      <c r="P172" s="288"/>
      <c r="Q172" s="288"/>
      <c r="R172" s="288"/>
      <c r="S172" s="153"/>
      <c r="T172" s="153"/>
      <c r="U172" s="288"/>
      <c r="V172" s="288"/>
      <c r="W172" s="153"/>
    </row>
    <row r="173" spans="1:23" s="12" customFormat="1" hidden="1" x14ac:dyDescent="0.2">
      <c r="A173" s="13"/>
      <c r="B173" s="13"/>
      <c r="C173" s="30"/>
      <c r="D173" s="13"/>
      <c r="E173" s="122" t="s">
        <v>9</v>
      </c>
      <c r="F173" s="123"/>
      <c r="G173" s="124"/>
      <c r="H173" s="124"/>
      <c r="I173" s="289">
        <f>SUM(I7)</f>
        <v>252274252</v>
      </c>
      <c r="J173" s="248">
        <f>SUM(J7)</f>
        <v>0</v>
      </c>
      <c r="K173" s="289"/>
      <c r="L173" s="289"/>
      <c r="M173" s="289">
        <f>SUM(M7)</f>
        <v>207539477</v>
      </c>
      <c r="N173" s="248">
        <f>SUM(N7)</f>
        <v>414324</v>
      </c>
      <c r="O173" s="248">
        <f>SUM(O7)</f>
        <v>52718413</v>
      </c>
      <c r="P173" s="289">
        <f>SUM(P7)</f>
        <v>259843566</v>
      </c>
      <c r="Q173" s="289"/>
      <c r="R173" s="289">
        <f>SUM(R7)</f>
        <v>44734775</v>
      </c>
      <c r="S173" s="248">
        <f>SUM(S7)</f>
        <v>3460960</v>
      </c>
      <c r="T173" s="248">
        <f>SUM(T7)</f>
        <v>3696282</v>
      </c>
      <c r="U173" s="289">
        <f>SUM(U7)</f>
        <v>44970097</v>
      </c>
      <c r="V173" s="289">
        <f>SUM(K7)</f>
        <v>304813663</v>
      </c>
      <c r="W173" s="153"/>
    </row>
    <row r="174" spans="1:23" s="12" customFormat="1" hidden="1" x14ac:dyDescent="0.2">
      <c r="A174" s="13"/>
      <c r="B174" s="13"/>
      <c r="C174" s="30"/>
      <c r="D174" s="13"/>
      <c r="E174" s="125" t="s">
        <v>24</v>
      </c>
      <c r="F174" s="126"/>
      <c r="G174" s="127"/>
      <c r="H174" s="127"/>
      <c r="I174" s="290">
        <f>SUM(I9)</f>
        <v>220153322</v>
      </c>
      <c r="J174" s="249">
        <f>SUM(J9)</f>
        <v>0</v>
      </c>
      <c r="K174" s="290"/>
      <c r="L174" s="290"/>
      <c r="M174" s="290">
        <f t="shared" ref="M174:P175" si="121">SUM(M9)</f>
        <v>181668547</v>
      </c>
      <c r="N174" s="249">
        <f t="shared" si="121"/>
        <v>414324</v>
      </c>
      <c r="O174" s="249">
        <f t="shared" si="121"/>
        <v>45135613</v>
      </c>
      <c r="P174" s="290">
        <f t="shared" si="121"/>
        <v>226389836</v>
      </c>
      <c r="Q174" s="290"/>
      <c r="R174" s="290">
        <f t="shared" ref="R174:U175" si="122">SUM(R9)</f>
        <v>38484775</v>
      </c>
      <c r="S174" s="249">
        <f t="shared" si="122"/>
        <v>3460960</v>
      </c>
      <c r="T174" s="249">
        <f t="shared" si="122"/>
        <v>3474000</v>
      </c>
      <c r="U174" s="290">
        <f t="shared" si="122"/>
        <v>38497815</v>
      </c>
      <c r="V174" s="290">
        <f>SUM(K9)</f>
        <v>264887651</v>
      </c>
      <c r="W174" s="153"/>
    </row>
    <row r="175" spans="1:23" s="12" customFormat="1" hidden="1" x14ac:dyDescent="0.2">
      <c r="A175" s="13"/>
      <c r="B175" s="13"/>
      <c r="C175" s="30"/>
      <c r="D175" s="13"/>
      <c r="E175" s="125" t="s">
        <v>25</v>
      </c>
      <c r="F175" s="126"/>
      <c r="G175" s="127"/>
      <c r="H175" s="127"/>
      <c r="I175" s="290">
        <f>SUM(I10)</f>
        <v>32120930</v>
      </c>
      <c r="J175" s="249">
        <f>SUM(J10)</f>
        <v>0</v>
      </c>
      <c r="K175" s="290"/>
      <c r="L175" s="290"/>
      <c r="M175" s="290">
        <f t="shared" si="121"/>
        <v>25870930</v>
      </c>
      <c r="N175" s="249">
        <f t="shared" si="121"/>
        <v>0</v>
      </c>
      <c r="O175" s="249">
        <f t="shared" si="121"/>
        <v>7582800</v>
      </c>
      <c r="P175" s="290">
        <f t="shared" si="121"/>
        <v>33453730</v>
      </c>
      <c r="Q175" s="290"/>
      <c r="R175" s="290">
        <f t="shared" si="122"/>
        <v>6250000</v>
      </c>
      <c r="S175" s="249">
        <f t="shared" si="122"/>
        <v>0</v>
      </c>
      <c r="T175" s="249">
        <f t="shared" si="122"/>
        <v>222282</v>
      </c>
      <c r="U175" s="290">
        <f t="shared" si="122"/>
        <v>6472282</v>
      </c>
      <c r="V175" s="290">
        <f>SUM(K10)</f>
        <v>39926012</v>
      </c>
      <c r="W175" s="153"/>
    </row>
    <row r="176" spans="1:23" s="12" customFormat="1" hidden="1" x14ac:dyDescent="0.2">
      <c r="A176" s="13"/>
      <c r="B176" s="13"/>
      <c r="C176" s="30"/>
      <c r="D176" s="13"/>
      <c r="E176" s="110"/>
      <c r="F176" s="118"/>
      <c r="G176" s="119"/>
      <c r="H176" s="119"/>
      <c r="I176" s="291"/>
      <c r="J176" s="250"/>
      <c r="K176" s="291"/>
      <c r="L176" s="291"/>
      <c r="M176" s="291"/>
      <c r="N176" s="250"/>
      <c r="O176" s="250"/>
      <c r="P176" s="291"/>
      <c r="Q176" s="291"/>
      <c r="R176" s="291"/>
      <c r="S176" s="250"/>
      <c r="T176" s="250"/>
      <c r="U176" s="291"/>
      <c r="V176" s="291"/>
      <c r="W176" s="153"/>
    </row>
    <row r="177" spans="1:23" s="12" customFormat="1" hidden="1" x14ac:dyDescent="0.2">
      <c r="A177" s="13"/>
      <c r="B177" s="13"/>
      <c r="C177" s="30"/>
      <c r="D177" s="13"/>
      <c r="E177" s="111" t="s">
        <v>50</v>
      </c>
      <c r="F177" s="118"/>
      <c r="G177" s="119"/>
      <c r="H177" s="119"/>
      <c r="I177" s="290">
        <f>SUMIF(C14:C165,"&gt;6190",I14:I165)</f>
        <v>37434775</v>
      </c>
      <c r="J177" s="249">
        <f>SUMIF(D14:D165,"&gt;6190",J14:J165)</f>
        <v>0</v>
      </c>
      <c r="K177" s="290"/>
      <c r="L177" s="290"/>
      <c r="M177" s="290">
        <f>SUMIF(C14:C165,"&gt;6190",M14:M165)</f>
        <v>0</v>
      </c>
      <c r="N177" s="249">
        <f>SUMIF(C14:C165,"&gt;6190",N14:N165)</f>
        <v>0</v>
      </c>
      <c r="O177" s="249">
        <f>SUMIF(C14:C165,"&gt;6190",O14:O165)</f>
        <v>0</v>
      </c>
      <c r="P177" s="290">
        <f>SUMIF(C14:C165,"&gt;6190",P14:P165)</f>
        <v>0</v>
      </c>
      <c r="Q177" s="290"/>
      <c r="R177" s="290">
        <f>SUMIF(C14:C164,"&gt;6190",R14:R165)</f>
        <v>37434775</v>
      </c>
      <c r="S177" s="249">
        <f>SUMIF(C14:C165,"&gt;6190",S14:S165)</f>
        <v>3460960</v>
      </c>
      <c r="T177" s="249">
        <f>SUMIF(C14:C165,"&gt;6190",T14:T165)</f>
        <v>3546282</v>
      </c>
      <c r="U177" s="290">
        <f>SUMIF(C14:C165,"&gt;6190",U14:U165)</f>
        <v>37520097</v>
      </c>
      <c r="V177" s="290">
        <f>SUMIF(C14:C165,"&gt;6190",K14:K165)</f>
        <v>37520097</v>
      </c>
      <c r="W177" s="153"/>
    </row>
    <row r="178" spans="1:23" s="12" customFormat="1" hidden="1" x14ac:dyDescent="0.2">
      <c r="A178" s="13"/>
      <c r="B178" s="13"/>
      <c r="C178" s="30"/>
      <c r="D178" s="13"/>
      <c r="E178" s="111" t="s">
        <v>47</v>
      </c>
      <c r="F178" s="118"/>
      <c r="G178" s="119"/>
      <c r="H178" s="119"/>
      <c r="I178" s="290">
        <f>SUMIF(C14:C165,"&lt;6190",I14:J165)</f>
        <v>214839477</v>
      </c>
      <c r="J178" s="249">
        <f>SUMIF(D19:D165,"&lt;6190",J19:J165)</f>
        <v>0</v>
      </c>
      <c r="K178" s="290"/>
      <c r="L178" s="290"/>
      <c r="M178" s="290">
        <f>SUMIF(C14:C165,"&lt;6190",M14:M165)</f>
        <v>207539477</v>
      </c>
      <c r="N178" s="251">
        <f>SUMIF(C14:C165,"&lt;6190",N14:N165)</f>
        <v>414324</v>
      </c>
      <c r="O178" s="251">
        <f>SUMIF(C14:C165,"&lt;6190",O14:O165)</f>
        <v>52718413</v>
      </c>
      <c r="P178" s="290">
        <f>SUMIF(C14:C165,"&lt;6190",P14:P165)</f>
        <v>259843566</v>
      </c>
      <c r="Q178" s="290"/>
      <c r="R178" s="290">
        <f>SUMIF(C14:C165,"&lt;6190",R14:R165)</f>
        <v>7300000</v>
      </c>
      <c r="S178" s="251">
        <f>SUMIF(C14:C165,"&lt;6190",S14:S165)</f>
        <v>0</v>
      </c>
      <c r="T178" s="251">
        <f>SUMIF(C14:C165,"&lt;6190",T14:T165)</f>
        <v>150000</v>
      </c>
      <c r="U178" s="290">
        <f>SUMIF(C14:C165,"&lt;6190",U14:U165)</f>
        <v>7450000</v>
      </c>
      <c r="V178" s="290">
        <f>SUMIF(C14:C165,"&lt;6190",K14:K165)</f>
        <v>267293566</v>
      </c>
      <c r="W178" s="153"/>
    </row>
    <row r="179" spans="1:23" s="12" customFormat="1" ht="13.5" hidden="1" customHeight="1" x14ac:dyDescent="0.2">
      <c r="A179" s="13"/>
      <c r="B179" s="13"/>
      <c r="C179" s="30"/>
      <c r="D179" s="13"/>
      <c r="E179" s="112" t="s">
        <v>21</v>
      </c>
      <c r="F179" s="118"/>
      <c r="G179" s="119"/>
      <c r="H179" s="119"/>
      <c r="I179" s="292">
        <f>SUM(I177:I178)</f>
        <v>252274252</v>
      </c>
      <c r="J179" s="252">
        <f t="shared" ref="J179:V179" si="123">SUM(J177:J178)</f>
        <v>0</v>
      </c>
      <c r="K179" s="292"/>
      <c r="L179" s="292"/>
      <c r="M179" s="292">
        <f>SUM(M177:M178)</f>
        <v>207539477</v>
      </c>
      <c r="N179" s="248">
        <f t="shared" si="123"/>
        <v>414324</v>
      </c>
      <c r="O179" s="248">
        <f>SUM(O177:O178)</f>
        <v>52718413</v>
      </c>
      <c r="P179" s="292">
        <f>SUM(P177:P178)</f>
        <v>259843566</v>
      </c>
      <c r="Q179" s="292"/>
      <c r="R179" s="292">
        <f t="shared" si="123"/>
        <v>44734775</v>
      </c>
      <c r="S179" s="248">
        <f t="shared" si="123"/>
        <v>3460960</v>
      </c>
      <c r="T179" s="248">
        <f t="shared" si="123"/>
        <v>3696282</v>
      </c>
      <c r="U179" s="292">
        <f t="shared" si="123"/>
        <v>44970097</v>
      </c>
      <c r="V179" s="292">
        <f t="shared" si="123"/>
        <v>304813663</v>
      </c>
      <c r="W179" s="153"/>
    </row>
    <row r="180" spans="1:23" s="12" customFormat="1" hidden="1" x14ac:dyDescent="0.2">
      <c r="A180" s="13"/>
      <c r="B180" s="13"/>
      <c r="C180" s="30"/>
      <c r="D180" s="13"/>
      <c r="E180" s="113" t="s">
        <v>28</v>
      </c>
      <c r="F180" s="118"/>
      <c r="G180" s="119"/>
      <c r="H180" s="119"/>
      <c r="I180" s="293">
        <f>SUM(I7-I179)</f>
        <v>0</v>
      </c>
      <c r="J180" s="253">
        <f>SUM(J7-J179)</f>
        <v>0</v>
      </c>
      <c r="K180" s="293"/>
      <c r="L180" s="293"/>
      <c r="M180" s="293">
        <f>SUM(M7-M179)</f>
        <v>0</v>
      </c>
      <c r="N180" s="253">
        <f>SUM(N7-N179)</f>
        <v>0</v>
      </c>
      <c r="O180" s="253">
        <f>SUM(O7-O179)</f>
        <v>0</v>
      </c>
      <c r="P180" s="293">
        <f>SUM(P7-P179)</f>
        <v>0</v>
      </c>
      <c r="Q180" s="293"/>
      <c r="R180" s="293">
        <f>SUM(R7-R179)</f>
        <v>0</v>
      </c>
      <c r="S180" s="253">
        <f>SUM(S7-S179)</f>
        <v>0</v>
      </c>
      <c r="T180" s="253">
        <f>SUM(T7-T179)</f>
        <v>0</v>
      </c>
      <c r="U180" s="293">
        <f>SUM(U7-U179)</f>
        <v>0</v>
      </c>
      <c r="V180" s="293">
        <f>SUM(K7-V179)</f>
        <v>0</v>
      </c>
      <c r="W180" s="153"/>
    </row>
    <row r="181" spans="1:23" s="12" customFormat="1" hidden="1" x14ac:dyDescent="0.2">
      <c r="A181" s="13"/>
      <c r="B181" s="13"/>
      <c r="C181" s="30"/>
      <c r="D181" s="13"/>
      <c r="E181" s="120"/>
      <c r="F181" s="118"/>
      <c r="G181" s="119"/>
      <c r="H181" s="119"/>
      <c r="I181" s="291"/>
      <c r="J181" s="250"/>
      <c r="K181" s="291"/>
      <c r="L181" s="291"/>
      <c r="M181" s="291"/>
      <c r="N181" s="250"/>
      <c r="O181" s="250"/>
      <c r="P181" s="291"/>
      <c r="Q181" s="291"/>
      <c r="R181" s="291"/>
      <c r="S181" s="250"/>
      <c r="T181" s="250"/>
      <c r="U181" s="291"/>
      <c r="V181" s="291"/>
      <c r="W181" s="153"/>
    </row>
    <row r="182" spans="1:23" s="12" customFormat="1" hidden="1" x14ac:dyDescent="0.2">
      <c r="A182" s="13"/>
      <c r="B182" s="13"/>
      <c r="C182" s="30"/>
      <c r="D182" s="13"/>
      <c r="E182" s="114" t="s">
        <v>70</v>
      </c>
      <c r="F182" s="137"/>
      <c r="G182" s="138"/>
      <c r="H182" s="138"/>
      <c r="I182" s="290">
        <f>SUMIF(C19:C165,"=2479",I19:I165)</f>
        <v>0</v>
      </c>
      <c r="J182" s="249">
        <f>SUMIF(D19:D165,"=2479",J19:J165)</f>
        <v>0</v>
      </c>
      <c r="K182" s="290"/>
      <c r="L182" s="290"/>
      <c r="M182" s="290">
        <f>SUMIF(C19:C165,"=2479",M19:M165)</f>
        <v>0</v>
      </c>
      <c r="N182" s="249">
        <f>SUMIF(C19:C165,"=2479",N19:N165)</f>
        <v>0</v>
      </c>
      <c r="O182" s="249">
        <f>SUMIF(C19:C165,"=2479",O19:O165)</f>
        <v>0</v>
      </c>
      <c r="P182" s="290">
        <f>SUMIF(C19:C165,"=2479",P19:P165)</f>
        <v>0</v>
      </c>
      <c r="Q182" s="290"/>
      <c r="R182" s="290">
        <f>SUMIF(C19:C165,"=2479",R19:R165)</f>
        <v>0</v>
      </c>
      <c r="S182" s="249">
        <f>SUMIF(C18:C164,"=2479",S19:S165)</f>
        <v>0</v>
      </c>
      <c r="T182" s="249">
        <f>SUMIF(C18:C164,"=2479",T19:T165)</f>
        <v>0</v>
      </c>
      <c r="U182" s="290">
        <f>SUMIF(C18:C164,"=2479",U19:U165)</f>
        <v>0</v>
      </c>
      <c r="V182" s="290">
        <f>SUMIF(C19:C165,"=2479",K19:K165)</f>
        <v>0</v>
      </c>
      <c r="W182" s="153"/>
    </row>
    <row r="183" spans="1:23" s="12" customFormat="1" hidden="1" x14ac:dyDescent="0.2">
      <c r="A183" s="13"/>
      <c r="B183" s="13"/>
      <c r="C183" s="30"/>
      <c r="D183" s="13"/>
      <c r="E183" s="114" t="s">
        <v>51</v>
      </c>
      <c r="F183" s="118"/>
      <c r="G183" s="119"/>
      <c r="H183" s="119"/>
      <c r="I183" s="290">
        <f>SUMIF(C14:C165,"=2480",I14:I165)</f>
        <v>207539477</v>
      </c>
      <c r="J183" s="249">
        <f>SUMIF(D19:D165,"=2480",J19:J165)</f>
        <v>0</v>
      </c>
      <c r="K183" s="290"/>
      <c r="L183" s="290"/>
      <c r="M183" s="290">
        <f>SUMIF(C14:C165,"=2480",M14:M165)</f>
        <v>207539477</v>
      </c>
      <c r="N183" s="249">
        <f>SUMIF(C14:C165,"=2480",N14:N165)</f>
        <v>414324</v>
      </c>
      <c r="O183" s="249">
        <f>SUMIF(C14:C165,"=2480",O14:O165)</f>
        <v>52718413</v>
      </c>
      <c r="P183" s="290">
        <f>SUMIF(C14:C165,"=2480",P14:P165)</f>
        <v>259843566</v>
      </c>
      <c r="Q183" s="290"/>
      <c r="R183" s="290">
        <f>SUMIF(C14:C165,"=2480",R14:R165)</f>
        <v>0</v>
      </c>
      <c r="S183" s="249">
        <f>SUMIF(C14:C165,"=2480",S14:S165)</f>
        <v>0</v>
      </c>
      <c r="T183" s="249">
        <f>SUMIF(C14:C165,"=2480",T14:T165)</f>
        <v>0</v>
      </c>
      <c r="U183" s="290">
        <f>SUMIF(C14:C165,"=2480",U14:U165)</f>
        <v>0</v>
      </c>
      <c r="V183" s="290">
        <f>SUMIF(C14:C164,"=2480",K14:K165)</f>
        <v>259843566</v>
      </c>
      <c r="W183" s="153"/>
    </row>
    <row r="184" spans="1:23" s="12" customFormat="1" ht="12.75" hidden="1" customHeight="1" x14ac:dyDescent="0.2">
      <c r="A184" s="13"/>
      <c r="B184" s="13"/>
      <c r="C184" s="30"/>
      <c r="D184" s="13"/>
      <c r="E184" s="133" t="s">
        <v>68</v>
      </c>
      <c r="F184" s="134"/>
      <c r="G184" s="135"/>
      <c r="H184" s="135"/>
      <c r="I184" s="294">
        <f>SUMIF(C14:C164,"=2800",I14:J164)</f>
        <v>7300000</v>
      </c>
      <c r="J184" s="254">
        <f>SUMIF(D14:D164,"=2800",J14:M164)</f>
        <v>0</v>
      </c>
      <c r="K184" s="294"/>
      <c r="L184" s="294"/>
      <c r="M184" s="294">
        <f>SUMIF(C14:C164,"=2800",M14:M164)</f>
        <v>0</v>
      </c>
      <c r="N184" s="254">
        <f>SUMIF(C14:C164,"=2800",N14:N164)</f>
        <v>0</v>
      </c>
      <c r="O184" s="254">
        <f>SUMIF(C14:C164,"=2800",O14:O164)</f>
        <v>0</v>
      </c>
      <c r="P184" s="294">
        <f ca="1">SUMIF(C14:C165,"=2800",P14:P164)</f>
        <v>0</v>
      </c>
      <c r="Q184" s="294"/>
      <c r="R184" s="294">
        <f ca="1">SUMIF(C14:C165,"=2800",R14:R164)</f>
        <v>7300000</v>
      </c>
      <c r="S184" s="254">
        <f>SUMIF(C14:C164,"=2800",S14:S164)</f>
        <v>0</v>
      </c>
      <c r="T184" s="254">
        <f>SUMIF(C14:C164,"=2800",T14:T164)</f>
        <v>150000</v>
      </c>
      <c r="U184" s="294">
        <f ca="1">SUMIF(C14:C165,"=2800",U14:U164)</f>
        <v>7450000</v>
      </c>
      <c r="V184" s="294">
        <f>SUMIF(C14:C164,"=2800",K14:K165)</f>
        <v>7450000</v>
      </c>
      <c r="W184" s="335"/>
    </row>
    <row r="185" spans="1:23" s="12" customFormat="1" hidden="1" x14ac:dyDescent="0.2">
      <c r="A185" s="13"/>
      <c r="B185" s="13"/>
      <c r="C185" s="30"/>
      <c r="D185" s="13"/>
      <c r="E185" s="133" t="s">
        <v>63</v>
      </c>
      <c r="F185" s="134"/>
      <c r="G185" s="135"/>
      <c r="H185" s="135"/>
      <c r="I185" s="294">
        <f>SUMIF(C18:C164,"=2805",I18:I164)</f>
        <v>0</v>
      </c>
      <c r="J185" s="254">
        <f>SUMIF(D18:D164,"=2805",J18:J164)</f>
        <v>0</v>
      </c>
      <c r="K185" s="294"/>
      <c r="L185" s="294"/>
      <c r="M185" s="294">
        <f>SUMIF(C18:C164,"=2805",M18:M164)</f>
        <v>0</v>
      </c>
      <c r="N185" s="254">
        <f>SUMIF(C18:C164,"=2805",N18:N164)</f>
        <v>0</v>
      </c>
      <c r="O185" s="254">
        <f>SUMIF(C19:C165,"=2805",O18:O164)</f>
        <v>0</v>
      </c>
      <c r="P185" s="294">
        <f>SUMIF(C18:C164,"=2805",P18:P164)</f>
        <v>0</v>
      </c>
      <c r="Q185" s="294"/>
      <c r="R185" s="294">
        <f>SUMIF(C18:C164,"=2805",R18:R164)</f>
        <v>0</v>
      </c>
      <c r="S185" s="254">
        <f>SUMIF(C18:C164,"=2805",S18:S164)</f>
        <v>0</v>
      </c>
      <c r="T185" s="254">
        <f>SUMIF(C18:C164,"=2805",T18:T164)</f>
        <v>0</v>
      </c>
      <c r="U185" s="294">
        <f ca="1">SUMIF(C18:C165,"=2805",U18:U164)</f>
        <v>0</v>
      </c>
      <c r="V185" s="294">
        <f>SUMIF(C18:C164,"=2805",K18:K164)</f>
        <v>0</v>
      </c>
      <c r="W185" s="335"/>
    </row>
    <row r="186" spans="1:23" s="12" customFormat="1" hidden="1" x14ac:dyDescent="0.2">
      <c r="A186" s="13"/>
      <c r="B186" s="13"/>
      <c r="C186" s="30"/>
      <c r="D186" s="13"/>
      <c r="E186" s="133" t="s">
        <v>64</v>
      </c>
      <c r="F186" s="134"/>
      <c r="G186" s="135"/>
      <c r="H186" s="135"/>
      <c r="I186" s="294">
        <f>SUMIF(C19:C165,"=2806",I19:I165)</f>
        <v>0</v>
      </c>
      <c r="J186" s="254">
        <f>SUMIF(D19:D165,"=2806",J19:J165)</f>
        <v>0</v>
      </c>
      <c r="K186" s="294"/>
      <c r="L186" s="294"/>
      <c r="M186" s="294">
        <f>SUMIF(C19:C165,"=2806",M19:M165)</f>
        <v>0</v>
      </c>
      <c r="N186" s="254">
        <f>SUMIF(C19:C165,"=2806",N19:N165)</f>
        <v>0</v>
      </c>
      <c r="O186" s="254">
        <f>SUMIF(C19:C165,"=2806",O19:O165)</f>
        <v>0</v>
      </c>
      <c r="P186" s="294">
        <f>SUMIF(C19:C165,"=2806",P19:P165)</f>
        <v>0</v>
      </c>
      <c r="Q186" s="294"/>
      <c r="R186" s="294">
        <f>SUMIF(C19:C165,"=2806",R19:R165)</f>
        <v>0</v>
      </c>
      <c r="S186" s="254">
        <f>SUMIF(C14:C165,"=2806",S14:S165)</f>
        <v>0</v>
      </c>
      <c r="T186" s="254">
        <f>SUMIF(C18:C164,"=2806",T18:T164)</f>
        <v>0</v>
      </c>
      <c r="U186" s="294">
        <f>SUMIF(C19:C165,"=2806",U19:U165)</f>
        <v>0</v>
      </c>
      <c r="V186" s="294">
        <f>SUMIF(C19:C165,"=2806",K19:K165)</f>
        <v>0</v>
      </c>
      <c r="W186" s="335"/>
    </row>
    <row r="187" spans="1:23" s="12" customFormat="1" hidden="1" x14ac:dyDescent="0.2">
      <c r="A187" s="13"/>
      <c r="B187" s="13"/>
      <c r="C187" s="30"/>
      <c r="D187" s="13"/>
      <c r="E187" s="133" t="s">
        <v>65</v>
      </c>
      <c r="F187" s="134"/>
      <c r="G187" s="135"/>
      <c r="H187" s="135"/>
      <c r="I187" s="294">
        <f ca="1">SUMIF(C18:C165,"=2807",I18:I164)</f>
        <v>0</v>
      </c>
      <c r="J187" s="254">
        <f>SUMIF(D19:D165,"=2807",J18:J164)</f>
        <v>0</v>
      </c>
      <c r="K187" s="294"/>
      <c r="L187" s="294"/>
      <c r="M187" s="294">
        <f ca="1">SUMIF(C18:C165,"=2807",M18:M164)</f>
        <v>0</v>
      </c>
      <c r="N187" s="254">
        <f ca="1">SUMIF(C18:C165,"=2807",N18:N164)</f>
        <v>0</v>
      </c>
      <c r="O187" s="254">
        <f ca="1">SUMIF(C18:C165,"=2807",O18:O164)</f>
        <v>0</v>
      </c>
      <c r="P187" s="294">
        <f ca="1">SUMIF(C18:C165,"=2807",P18:P164)</f>
        <v>0</v>
      </c>
      <c r="Q187" s="294"/>
      <c r="R187" s="294">
        <f ca="1">SUMIF(C18:C165,"=2807",R18:R164)</f>
        <v>0</v>
      </c>
      <c r="S187" s="254">
        <f ca="1">SUMIF(C18:C165,"=2807",S18:S164)</f>
        <v>0</v>
      </c>
      <c r="T187" s="254">
        <f>SUMIF(C18:C164,"=2807",T18:T164)</f>
        <v>0</v>
      </c>
      <c r="U187" s="294">
        <f ca="1">SUMIF(C18:C165,"=2807",U18:U164)</f>
        <v>0</v>
      </c>
      <c r="V187" s="294">
        <f>SUMIF(C18:C164,"=2807",K18:K164)</f>
        <v>0</v>
      </c>
      <c r="W187" s="335"/>
    </row>
    <row r="188" spans="1:23" s="12" customFormat="1" hidden="1" x14ac:dyDescent="0.2">
      <c r="A188" s="13"/>
      <c r="B188" s="13"/>
      <c r="C188" s="30"/>
      <c r="D188" s="13"/>
      <c r="E188" s="114" t="s">
        <v>52</v>
      </c>
      <c r="F188" s="118"/>
      <c r="G188" s="119"/>
      <c r="H188" s="119"/>
      <c r="I188" s="290">
        <f>SUMIF(C19:C164,"=6220",I19:I164)</f>
        <v>15370500</v>
      </c>
      <c r="J188" s="249">
        <f>SUMIF(D19:D165,"=6220",J19:J165)</f>
        <v>0</v>
      </c>
      <c r="K188" s="290"/>
      <c r="L188" s="290"/>
      <c r="M188" s="290">
        <f>SUMIF(C19:C164,"=6220",M19:M164)</f>
        <v>0</v>
      </c>
      <c r="N188" s="249">
        <f>SUMIF(F19:F164,"=6220",N19:N164)</f>
        <v>0</v>
      </c>
      <c r="O188" s="249">
        <f>SUMIF(C19:C164,"=6220",O19:O164)</f>
        <v>0</v>
      </c>
      <c r="P188" s="290">
        <f>SUMIF(C19:C164,"=6220",P19:P164)</f>
        <v>0</v>
      </c>
      <c r="Q188" s="290"/>
      <c r="R188" s="290">
        <f>SUMIF(C19:C164,"=6220",R19:R164)</f>
        <v>15370500</v>
      </c>
      <c r="S188" s="249">
        <f>SUMIF(C19:C164,"=6220",S19:S164)</f>
        <v>1338660</v>
      </c>
      <c r="T188" s="249">
        <f>SUMIF(C19:C165,"=6220",T19:T165)</f>
        <v>3319282</v>
      </c>
      <c r="U188" s="290">
        <f>SUMIF(C19:C165,"=6220",U19:U165)</f>
        <v>17351122</v>
      </c>
      <c r="V188" s="290">
        <f>SUMIF(C19:C164,"=6220",K19:K165)</f>
        <v>17351122</v>
      </c>
      <c r="W188" s="334"/>
    </row>
    <row r="189" spans="1:23" s="12" customFormat="1" hidden="1" x14ac:dyDescent="0.2">
      <c r="A189" s="13"/>
      <c r="B189" s="13"/>
      <c r="C189" s="30"/>
      <c r="D189" s="13"/>
      <c r="E189" s="114" t="s">
        <v>69</v>
      </c>
      <c r="F189" s="118"/>
      <c r="G189" s="119"/>
      <c r="H189" s="119"/>
      <c r="I189" s="290">
        <f>SUMIF(C19:C164,"=6226",I19:I164)</f>
        <v>0</v>
      </c>
      <c r="J189" s="249">
        <f>SUMIF(D19:D164,"=6226",J19:J164)</f>
        <v>0</v>
      </c>
      <c r="K189" s="290"/>
      <c r="L189" s="290"/>
      <c r="M189" s="290">
        <f>SUMIF(C19:C164,"=6226",M19:M164)</f>
        <v>0</v>
      </c>
      <c r="N189" s="249">
        <f>SUMIF(C19:C164,"=6226",N19:N164)</f>
        <v>0</v>
      </c>
      <c r="O189" s="249">
        <f>SUMIF(C19:C164,"=6226",O19:O164)</f>
        <v>0</v>
      </c>
      <c r="P189" s="290">
        <f>SUMIF(C19:C164,"=6226",P19:P164)</f>
        <v>0</v>
      </c>
      <c r="Q189" s="290"/>
      <c r="R189" s="290">
        <f>SUMIF(C19:C164,"=6226",R19:R164)</f>
        <v>0</v>
      </c>
      <c r="S189" s="249">
        <f>SUMIF(C19:C164,"=6226",S19:S164)</f>
        <v>0</v>
      </c>
      <c r="T189" s="249">
        <f>SUMIF(C19:C164,"=6226",T19:T164)</f>
        <v>0</v>
      </c>
      <c r="U189" s="290">
        <f>SUMIF(C19:C164,"=6226",U19:U164)</f>
        <v>0</v>
      </c>
      <c r="V189" s="290">
        <f>SUMIF(C19:C164,"=6226",K19:K164)</f>
        <v>0</v>
      </c>
      <c r="W189" s="334"/>
    </row>
    <row r="190" spans="1:23" s="12" customFormat="1" hidden="1" x14ac:dyDescent="0.2">
      <c r="A190" s="13"/>
      <c r="B190" s="13"/>
      <c r="C190" s="30"/>
      <c r="D190" s="13"/>
      <c r="E190" s="114" t="s">
        <v>60</v>
      </c>
      <c r="F190" s="118"/>
      <c r="G190" s="119"/>
      <c r="H190" s="119"/>
      <c r="I190" s="290">
        <f>SUMIF(C19:C165,"=6227",I19:I165)</f>
        <v>0</v>
      </c>
      <c r="J190" s="249">
        <f>SUMIF(D19:D165,"=6227",J19:J165)</f>
        <v>0</v>
      </c>
      <c r="K190" s="290"/>
      <c r="L190" s="290"/>
      <c r="M190" s="290">
        <f>SUMIF(C19:C165,"=6227",M19:M165)</f>
        <v>0</v>
      </c>
      <c r="N190" s="249">
        <f>SUMIF(C19:C165,"=6227",N19:N165)</f>
        <v>0</v>
      </c>
      <c r="O190" s="249">
        <f>SUMIF(C19:C165,"=6227",O19:O165)</f>
        <v>0</v>
      </c>
      <c r="P190" s="290">
        <f>SUMIF(C19:C165,"=6227",P19:P165)</f>
        <v>0</v>
      </c>
      <c r="Q190" s="290"/>
      <c r="R190" s="290">
        <f>SUMIF(C19:C165,"=6227",R19:R165)</f>
        <v>0</v>
      </c>
      <c r="S190" s="249">
        <f>SUMIF(C19:C165,"=6227",S19:S165)</f>
        <v>0</v>
      </c>
      <c r="T190" s="249">
        <f>SUMIF(C19:C165,"=6227",T19:T165)</f>
        <v>0</v>
      </c>
      <c r="U190" s="290">
        <f>SUMIF(C19:C165,"=6227",U19:U165)</f>
        <v>0</v>
      </c>
      <c r="V190" s="290">
        <f>SUMIF(C19:C165,"=6227",K19:K165)</f>
        <v>0</v>
      </c>
      <c r="W190" s="334"/>
    </row>
    <row r="191" spans="1:23" s="12" customFormat="1" hidden="1" x14ac:dyDescent="0.2">
      <c r="A191" s="13"/>
      <c r="B191" s="13"/>
      <c r="C191" s="30"/>
      <c r="D191" s="13"/>
      <c r="E191" s="114" t="s">
        <v>55</v>
      </c>
      <c r="F191" s="118"/>
      <c r="G191" s="119"/>
      <c r="H191" s="119"/>
      <c r="I191" s="290">
        <f>SUMIF(C19:C165,"=6229",I19:I165)</f>
        <v>8765000</v>
      </c>
      <c r="J191" s="249">
        <f>SUMIF(D19:D165,"=6229",J19:J165)</f>
        <v>0</v>
      </c>
      <c r="K191" s="290"/>
      <c r="L191" s="290"/>
      <c r="M191" s="290">
        <f>SUMIF(C19:C165,"=6229",M19:M165)</f>
        <v>0</v>
      </c>
      <c r="N191" s="249">
        <f>SUMIF(C19:C165,"=6229",N19:N165)</f>
        <v>0</v>
      </c>
      <c r="O191" s="249">
        <f>SUMIF(C19:C165,"=6229",O19:O165)</f>
        <v>0</v>
      </c>
      <c r="P191" s="290">
        <f>SUMIF(C19:C165,"=6229",P19:P165)</f>
        <v>0</v>
      </c>
      <c r="Q191" s="290"/>
      <c r="R191" s="290">
        <f>SUMIF(C19:C165,"=6229",R19:R165)</f>
        <v>8765000</v>
      </c>
      <c r="S191" s="249">
        <f>SUMIF(C19:C165,"=6229",S19:S165)</f>
        <v>262000</v>
      </c>
      <c r="T191" s="249">
        <f>SUMIF(C19:C165,"=6229",T19:T165)</f>
        <v>0</v>
      </c>
      <c r="U191" s="290">
        <f>SUMIF(C19:C165,"=6229",U19:U165)</f>
        <v>8503000</v>
      </c>
      <c r="V191" s="290">
        <f>SUMIF(C19:C165,"=6229",K19:K165)</f>
        <v>8503000</v>
      </c>
      <c r="W191" s="334"/>
    </row>
    <row r="192" spans="1:23" s="12" customFormat="1" ht="12.75" hidden="1" customHeight="1" x14ac:dyDescent="0.2">
      <c r="A192" s="13"/>
      <c r="B192" s="13"/>
      <c r="C192" s="30"/>
      <c r="D192" s="13"/>
      <c r="E192" s="121" t="s">
        <v>62</v>
      </c>
      <c r="F192" s="118"/>
      <c r="G192" s="119"/>
      <c r="H192" s="119"/>
      <c r="I192" s="295">
        <f>SUMIF(C19:C165,"=6560",I19:I165)</f>
        <v>13299275</v>
      </c>
      <c r="J192" s="255">
        <f>SUMIF(D19:D165,"=6560",J19:J165)</f>
        <v>0</v>
      </c>
      <c r="K192" s="295"/>
      <c r="L192" s="295"/>
      <c r="M192" s="295">
        <f>SUMIF(C19:C165,"=6560",M19:M165)</f>
        <v>0</v>
      </c>
      <c r="N192" s="255">
        <f>SUMIF(C19:C165,"=6560",N19:N165)</f>
        <v>0</v>
      </c>
      <c r="O192" s="255">
        <f>SUMIF(C19:C165,"=6560",O19:O165)</f>
        <v>0</v>
      </c>
      <c r="P192" s="295">
        <f>SUMIF(C19:C165,"=6560",P19:P165)</f>
        <v>0</v>
      </c>
      <c r="Q192" s="295"/>
      <c r="R192" s="295">
        <f>SUMIF(C19:C164,"=6560",R19:R165)</f>
        <v>13299275</v>
      </c>
      <c r="S192" s="255">
        <f>SUMIF(C19:C165,"=6560",S19:S165)</f>
        <v>1860300</v>
      </c>
      <c r="T192" s="255">
        <f>SUMIF(C19:C165,"=6560",T19:T165)</f>
        <v>227000</v>
      </c>
      <c r="U192" s="295">
        <f>SUMIF(C19:C165,"=6560",U19:U165)</f>
        <v>11665975</v>
      </c>
      <c r="V192" s="295">
        <f>SUMIF(C19:C165,"=6560",K19:K165)</f>
        <v>11665975</v>
      </c>
      <c r="W192" s="333"/>
    </row>
    <row r="193" spans="1:23" s="12" customFormat="1" hidden="1" x14ac:dyDescent="0.2">
      <c r="A193" s="13"/>
      <c r="B193" s="13"/>
      <c r="C193" s="30"/>
      <c r="D193" s="13"/>
      <c r="E193" s="121" t="s">
        <v>59</v>
      </c>
      <c r="F193" s="118"/>
      <c r="G193" s="119"/>
      <c r="H193" s="119"/>
      <c r="I193" s="295">
        <f>SUMIF(C19:C165,"=6567",I19:I165)</f>
        <v>0</v>
      </c>
      <c r="J193" s="255">
        <f>SUMIF(D19:D165,"=6567",J19:J165)</f>
        <v>0</v>
      </c>
      <c r="K193" s="295"/>
      <c r="L193" s="295"/>
      <c r="M193" s="295">
        <f>SUMIF(C19:C165,"=6567",M19:M165)</f>
        <v>0</v>
      </c>
      <c r="N193" s="255">
        <f>SUMIF(C19:C165,"=6567",N19:N165)</f>
        <v>0</v>
      </c>
      <c r="O193" s="255">
        <f>SUMIF(C19:C165,"=6567",O19:O165)</f>
        <v>0</v>
      </c>
      <c r="P193" s="295">
        <f>SUMIF(C19:C165,"=6567",P19:P165)</f>
        <v>0</v>
      </c>
      <c r="Q193" s="295"/>
      <c r="R193" s="295">
        <f>SUMIF(C19:C165,"=6567",R19:R165)</f>
        <v>0</v>
      </c>
      <c r="S193" s="255">
        <f>SUMIF(C19:C165,"=6567",S19:S165)</f>
        <v>0</v>
      </c>
      <c r="T193" s="255">
        <f>SUMIF(C19:C165,"=6567",T19:T165)</f>
        <v>0</v>
      </c>
      <c r="U193" s="295">
        <f>SUMIF(C19:C165,"=6567",U19:U165)</f>
        <v>0</v>
      </c>
      <c r="V193" s="295">
        <f>SUMIF(C19:C165,"=6567",K19:K165)</f>
        <v>0</v>
      </c>
      <c r="W193" s="333"/>
    </row>
    <row r="194" spans="1:23" s="12" customFormat="1" hidden="1" x14ac:dyDescent="0.2">
      <c r="A194" s="13"/>
      <c r="B194" s="13"/>
      <c r="C194" s="30"/>
      <c r="D194" s="13"/>
      <c r="E194" s="121" t="s">
        <v>57</v>
      </c>
      <c r="F194" s="118"/>
      <c r="G194" s="119"/>
      <c r="H194" s="119"/>
      <c r="I194" s="295">
        <f>SUMIF(C19:C165,"=6568",I19:I165)</f>
        <v>0</v>
      </c>
      <c r="J194" s="255">
        <f>SUMIF(D19:D165,"=6568",J19:J165)</f>
        <v>0</v>
      </c>
      <c r="K194" s="295"/>
      <c r="L194" s="295"/>
      <c r="M194" s="295">
        <f>SUMIF(C19:C165,"=6568",M19:M165)</f>
        <v>0</v>
      </c>
      <c r="N194" s="255">
        <f>SUMIF(C19:C165,"=6568",N19:N165)</f>
        <v>0</v>
      </c>
      <c r="O194" s="255">
        <f>SUMIF(C19:C165,"=6568",O19:O165)</f>
        <v>0</v>
      </c>
      <c r="P194" s="295">
        <f>SUMIF(C19:C165,"=6568",P19:P165)</f>
        <v>0</v>
      </c>
      <c r="Q194" s="295"/>
      <c r="R194" s="295">
        <f>SUMIF(C19:C165,"=6568",R19:R165)</f>
        <v>0</v>
      </c>
      <c r="S194" s="255">
        <f>SUMIF(C19:C165,"=6568",S19:S165)</f>
        <v>0</v>
      </c>
      <c r="T194" s="255">
        <f>SUMIF(C19:C165,"=6568",T19:T165)</f>
        <v>0</v>
      </c>
      <c r="U194" s="295">
        <f>SUMIF(C19:C165,"=6568",U19:U165)</f>
        <v>0</v>
      </c>
      <c r="V194" s="295">
        <f>SUMIF(C19:C165,"=6568",K19:K165)</f>
        <v>0</v>
      </c>
      <c r="W194" s="333"/>
    </row>
    <row r="195" spans="1:23" s="12" customFormat="1" hidden="1" x14ac:dyDescent="0.2">
      <c r="A195" s="13"/>
      <c r="B195" s="13"/>
      <c r="C195" s="30"/>
      <c r="D195" s="13"/>
      <c r="E195" s="121" t="s">
        <v>56</v>
      </c>
      <c r="F195" s="118"/>
      <c r="G195" s="119"/>
      <c r="H195" s="119"/>
      <c r="I195" s="295">
        <f>SUMIF(C19:C165,"=6569",I19:I165)</f>
        <v>0</v>
      </c>
      <c r="J195" s="255">
        <f>SUMIF(D19:D165,"=6569",J19:J165)</f>
        <v>0</v>
      </c>
      <c r="K195" s="295"/>
      <c r="L195" s="295"/>
      <c r="M195" s="295">
        <f>SUMIF(C19:C165,"=6569",M19:M165)</f>
        <v>0</v>
      </c>
      <c r="N195" s="255">
        <f>SUMIF(C19:C165,"=6569",N19:N165)</f>
        <v>0</v>
      </c>
      <c r="O195" s="255">
        <f>SUMIF(C19:C165,"=6569",O19:O165)</f>
        <v>0</v>
      </c>
      <c r="P195" s="295">
        <f>SUMIF(C19:C165,"=6569",P19:P165)</f>
        <v>0</v>
      </c>
      <c r="Q195" s="295"/>
      <c r="R195" s="295">
        <f>SUMIF(C19:C165,"=6569",R19:R165)</f>
        <v>0</v>
      </c>
      <c r="S195" s="255">
        <f>SUMIF(C19:C165,"=6569",S19:S165)</f>
        <v>0</v>
      </c>
      <c r="T195" s="255">
        <f>SUMIF(C19:C165,"=6569",T19:T165)</f>
        <v>0</v>
      </c>
      <c r="U195" s="295">
        <f>SUMIF(C19:C165,"=6569",U19:U165)</f>
        <v>0</v>
      </c>
      <c r="V195" s="295">
        <f>SUMIF(C19:C165,"=6569",K19:K165)</f>
        <v>0</v>
      </c>
      <c r="W195" s="333"/>
    </row>
    <row r="196" spans="1:23" s="12" customFormat="1" hidden="1" x14ac:dyDescent="0.2">
      <c r="A196" s="13"/>
      <c r="B196" s="13"/>
      <c r="C196" s="30"/>
      <c r="D196" s="13"/>
      <c r="E196" s="115" t="s">
        <v>58</v>
      </c>
      <c r="F196" s="118"/>
      <c r="G196" s="119"/>
      <c r="H196" s="119"/>
      <c r="I196" s="292">
        <f ca="1">SUM(I183:I195)</f>
        <v>252274252</v>
      </c>
      <c r="J196" s="252">
        <f t="shared" ref="J196:V196" si="124">SUM(J183:J195)</f>
        <v>0</v>
      </c>
      <c r="K196" s="292"/>
      <c r="L196" s="292"/>
      <c r="M196" s="292">
        <f t="shared" ca="1" si="124"/>
        <v>207539477</v>
      </c>
      <c r="N196" s="252">
        <f t="shared" ca="1" si="124"/>
        <v>414324</v>
      </c>
      <c r="O196" s="252">
        <f t="shared" ca="1" si="124"/>
        <v>52718413</v>
      </c>
      <c r="P196" s="292">
        <f t="shared" ca="1" si="124"/>
        <v>259843566</v>
      </c>
      <c r="Q196" s="292"/>
      <c r="R196" s="292">
        <f t="shared" ca="1" si="124"/>
        <v>44734775</v>
      </c>
      <c r="S196" s="252">
        <f t="shared" ca="1" si="124"/>
        <v>3460960</v>
      </c>
      <c r="T196" s="252">
        <f t="shared" si="124"/>
        <v>3696282</v>
      </c>
      <c r="U196" s="292">
        <f t="shared" ca="1" si="124"/>
        <v>44970097</v>
      </c>
      <c r="V196" s="292">
        <f t="shared" si="124"/>
        <v>304813663</v>
      </c>
      <c r="W196" s="153"/>
    </row>
    <row r="197" spans="1:23" s="12" customFormat="1" hidden="1" x14ac:dyDescent="0.2">
      <c r="A197" s="13"/>
      <c r="B197" s="13"/>
      <c r="C197" s="30"/>
      <c r="D197" s="13"/>
      <c r="E197" s="114" t="s">
        <v>53</v>
      </c>
      <c r="F197" s="118"/>
      <c r="G197" s="119"/>
      <c r="H197" s="119"/>
      <c r="I197" s="290">
        <f ca="1">SUM(I183:I187)</f>
        <v>214839477</v>
      </c>
      <c r="J197" s="249">
        <f t="shared" ref="J197:V197" si="125">SUM(J183:J187)</f>
        <v>0</v>
      </c>
      <c r="K197" s="290"/>
      <c r="L197" s="290"/>
      <c r="M197" s="290">
        <f t="shared" ca="1" si="125"/>
        <v>207539477</v>
      </c>
      <c r="N197" s="249">
        <f t="shared" ca="1" si="125"/>
        <v>414324</v>
      </c>
      <c r="O197" s="249">
        <f t="shared" ca="1" si="125"/>
        <v>52718413</v>
      </c>
      <c r="P197" s="290">
        <f t="shared" ca="1" si="125"/>
        <v>259843566</v>
      </c>
      <c r="Q197" s="290"/>
      <c r="R197" s="290">
        <f t="shared" ca="1" si="125"/>
        <v>7300000</v>
      </c>
      <c r="S197" s="249">
        <f t="shared" ca="1" si="125"/>
        <v>0</v>
      </c>
      <c r="T197" s="249">
        <f t="shared" si="125"/>
        <v>150000</v>
      </c>
      <c r="U197" s="290">
        <f t="shared" ca="1" si="125"/>
        <v>7450000</v>
      </c>
      <c r="V197" s="290">
        <f t="shared" si="125"/>
        <v>267293566</v>
      </c>
      <c r="W197" s="153"/>
    </row>
    <row r="198" spans="1:23" s="12" customFormat="1" hidden="1" x14ac:dyDescent="0.2">
      <c r="A198" s="13"/>
      <c r="B198" s="13"/>
      <c r="C198" s="30"/>
      <c r="D198" s="13"/>
      <c r="E198" s="114" t="s">
        <v>54</v>
      </c>
      <c r="F198" s="118"/>
      <c r="G198" s="119"/>
      <c r="H198" s="119"/>
      <c r="I198" s="290">
        <f>SUM(I188:I195)</f>
        <v>37434775</v>
      </c>
      <c r="J198" s="249">
        <f t="shared" ref="J198:V198" si="126">SUM(J188:J195)</f>
        <v>0</v>
      </c>
      <c r="K198" s="290"/>
      <c r="L198" s="290"/>
      <c r="M198" s="290">
        <f t="shared" si="126"/>
        <v>0</v>
      </c>
      <c r="N198" s="249">
        <f t="shared" si="126"/>
        <v>0</v>
      </c>
      <c r="O198" s="249">
        <f t="shared" si="126"/>
        <v>0</v>
      </c>
      <c r="P198" s="290">
        <f t="shared" si="126"/>
        <v>0</v>
      </c>
      <c r="Q198" s="290"/>
      <c r="R198" s="290">
        <f t="shared" si="126"/>
        <v>37434775</v>
      </c>
      <c r="S198" s="249">
        <f t="shared" si="126"/>
        <v>3460960</v>
      </c>
      <c r="T198" s="249">
        <f t="shared" si="126"/>
        <v>3546282</v>
      </c>
      <c r="U198" s="290">
        <f t="shared" si="126"/>
        <v>37520097</v>
      </c>
      <c r="V198" s="290">
        <f t="shared" si="126"/>
        <v>37520097</v>
      </c>
      <c r="W198" s="153"/>
    </row>
    <row r="199" spans="1:23" s="12" customFormat="1" hidden="1" x14ac:dyDescent="0.2">
      <c r="A199" s="13"/>
      <c r="B199" s="13"/>
      <c r="C199" s="30"/>
      <c r="D199" s="13"/>
      <c r="E199" s="116"/>
      <c r="F199" s="118"/>
      <c r="G199" s="119"/>
      <c r="H199" s="119"/>
      <c r="I199" s="291"/>
      <c r="J199" s="250"/>
      <c r="K199" s="291"/>
      <c r="L199" s="291"/>
      <c r="M199" s="291"/>
      <c r="N199" s="250"/>
      <c r="O199" s="250"/>
      <c r="P199" s="291"/>
      <c r="Q199" s="291"/>
      <c r="R199" s="291"/>
      <c r="S199" s="250"/>
      <c r="T199" s="250"/>
      <c r="U199" s="291"/>
      <c r="V199" s="291"/>
      <c r="W199" s="153"/>
    </row>
    <row r="200" spans="1:23" s="12" customFormat="1" ht="13.5" hidden="1" customHeight="1" x14ac:dyDescent="0.2">
      <c r="A200" s="13"/>
      <c r="B200" s="13"/>
      <c r="C200" s="30"/>
      <c r="D200" s="13"/>
      <c r="E200" s="113" t="s">
        <v>21</v>
      </c>
      <c r="F200" s="118"/>
      <c r="G200" s="119"/>
      <c r="H200" s="119"/>
      <c r="I200" s="293">
        <f ca="1">I179-SUM(I182:J195)</f>
        <v>0</v>
      </c>
      <c r="J200" s="253">
        <f t="shared" ref="J200" ca="1" si="127">J179-SUM(J182:M195)</f>
        <v>-207539477</v>
      </c>
      <c r="K200" s="293"/>
      <c r="L200" s="293"/>
      <c r="M200" s="293">
        <f t="shared" ref="M200:V200" ca="1" si="128">M179-SUM(M182:M195)</f>
        <v>0</v>
      </c>
      <c r="N200" s="253">
        <f t="shared" ca="1" si="128"/>
        <v>0</v>
      </c>
      <c r="O200" s="253">
        <f t="shared" ca="1" si="128"/>
        <v>0</v>
      </c>
      <c r="P200" s="293">
        <f t="shared" ca="1" si="128"/>
        <v>0</v>
      </c>
      <c r="Q200" s="293"/>
      <c r="R200" s="293">
        <f t="shared" ca="1" si="128"/>
        <v>0</v>
      </c>
      <c r="S200" s="253">
        <f t="shared" ca="1" si="128"/>
        <v>0</v>
      </c>
      <c r="T200" s="253">
        <f t="shared" si="128"/>
        <v>0</v>
      </c>
      <c r="U200" s="293">
        <f t="shared" ca="1" si="128"/>
        <v>0</v>
      </c>
      <c r="V200" s="293">
        <f t="shared" si="128"/>
        <v>0</v>
      </c>
      <c r="W200" s="153"/>
    </row>
    <row r="201" spans="1:23" s="12" customFormat="1" ht="14.25" hidden="1" customHeight="1" x14ac:dyDescent="0.2">
      <c r="A201" s="13"/>
      <c r="B201" s="13"/>
      <c r="C201" s="30"/>
      <c r="D201" s="13"/>
      <c r="E201" s="117" t="s">
        <v>53</v>
      </c>
      <c r="F201" s="118"/>
      <c r="G201" s="119"/>
      <c r="H201" s="119"/>
      <c r="I201" s="296">
        <f ca="1">SUM(I178)-SUM(I182:I187)</f>
        <v>0</v>
      </c>
      <c r="J201" s="256">
        <f t="shared" ref="J201:V201" si="129">SUM(J178)-SUM(J182:J187)</f>
        <v>0</v>
      </c>
      <c r="K201" s="296"/>
      <c r="L201" s="296"/>
      <c r="M201" s="296">
        <f t="shared" ca="1" si="129"/>
        <v>0</v>
      </c>
      <c r="N201" s="256">
        <f t="shared" ca="1" si="129"/>
        <v>0</v>
      </c>
      <c r="O201" s="256">
        <f t="shared" ca="1" si="129"/>
        <v>0</v>
      </c>
      <c r="P201" s="296">
        <f t="shared" ca="1" si="129"/>
        <v>0</v>
      </c>
      <c r="Q201" s="296"/>
      <c r="R201" s="296">
        <f t="shared" ca="1" si="129"/>
        <v>0</v>
      </c>
      <c r="S201" s="256">
        <f t="shared" ca="1" si="129"/>
        <v>0</v>
      </c>
      <c r="T201" s="256">
        <f>SUM(T178)-SUM(T182:T187)</f>
        <v>0</v>
      </c>
      <c r="U201" s="296">
        <f ca="1">SUM(U178)-SUM(U182:U187)</f>
        <v>0</v>
      </c>
      <c r="V201" s="296">
        <f t="shared" si="129"/>
        <v>0</v>
      </c>
      <c r="W201" s="153"/>
    </row>
    <row r="202" spans="1:23" s="12" customFormat="1" ht="13.5" hidden="1" customHeight="1" x14ac:dyDescent="0.2">
      <c r="A202" s="13"/>
      <c r="B202" s="13"/>
      <c r="C202" s="30"/>
      <c r="D202" s="13"/>
      <c r="E202" s="117" t="s">
        <v>54</v>
      </c>
      <c r="F202" s="118"/>
      <c r="G202" s="119"/>
      <c r="H202" s="119"/>
      <c r="I202" s="296">
        <f t="shared" ref="I202:V202" si="130">I177-SUM(I188:I195)</f>
        <v>0</v>
      </c>
      <c r="J202" s="256">
        <f t="shared" si="130"/>
        <v>0</v>
      </c>
      <c r="K202" s="296"/>
      <c r="L202" s="296"/>
      <c r="M202" s="296">
        <f t="shared" si="130"/>
        <v>0</v>
      </c>
      <c r="N202" s="256">
        <f t="shared" si="130"/>
        <v>0</v>
      </c>
      <c r="O202" s="256">
        <f>O177-SUM(O188:O195)</f>
        <v>0</v>
      </c>
      <c r="P202" s="296">
        <f t="shared" si="130"/>
        <v>0</v>
      </c>
      <c r="Q202" s="296"/>
      <c r="R202" s="296">
        <f t="shared" si="130"/>
        <v>0</v>
      </c>
      <c r="S202" s="256">
        <f>S177-SUM(S188:S195)</f>
        <v>0</v>
      </c>
      <c r="T202" s="256">
        <f t="shared" si="130"/>
        <v>0</v>
      </c>
      <c r="U202" s="296">
        <f t="shared" si="130"/>
        <v>0</v>
      </c>
      <c r="V202" s="296">
        <f t="shared" si="130"/>
        <v>0</v>
      </c>
      <c r="W202" s="153"/>
    </row>
    <row r="203" spans="1:23" s="12" customFormat="1" ht="17.25" customHeight="1" x14ac:dyDescent="0.2">
      <c r="A203" s="227"/>
      <c r="B203" s="228"/>
      <c r="C203" s="229"/>
      <c r="D203" s="228"/>
      <c r="E203" s="233" t="s">
        <v>9</v>
      </c>
      <c r="F203" s="228"/>
      <c r="G203" s="228"/>
      <c r="H203" s="228"/>
      <c r="I203" s="200">
        <f>SUM(I205:I206)</f>
        <v>252274252</v>
      </c>
      <c r="J203" s="200">
        <f t="shared" ref="J203:L203" si="131">SUM(J205:J206)</f>
        <v>0</v>
      </c>
      <c r="K203" s="201">
        <f t="shared" si="131"/>
        <v>304813663</v>
      </c>
      <c r="L203" s="237">
        <f t="shared" si="131"/>
        <v>304600819.82999998</v>
      </c>
      <c r="M203" s="200">
        <f>SUM(M205:M206)</f>
        <v>207539477</v>
      </c>
      <c r="N203" s="200">
        <f t="shared" ref="N203:V203" si="132">SUM(N205:N206)</f>
        <v>414324</v>
      </c>
      <c r="O203" s="200">
        <f t="shared" si="132"/>
        <v>52718413</v>
      </c>
      <c r="P203" s="201">
        <f t="shared" si="132"/>
        <v>259843566</v>
      </c>
      <c r="Q203" s="237">
        <f t="shared" si="132"/>
        <v>259836309.53999999</v>
      </c>
      <c r="R203" s="200">
        <f t="shared" si="132"/>
        <v>44734775</v>
      </c>
      <c r="S203" s="200">
        <f t="shared" si="132"/>
        <v>3460960</v>
      </c>
      <c r="T203" s="200">
        <f t="shared" si="132"/>
        <v>3696282</v>
      </c>
      <c r="U203" s="201">
        <f t="shared" si="132"/>
        <v>44970097</v>
      </c>
      <c r="V203" s="201">
        <f t="shared" si="132"/>
        <v>44764510.289999999</v>
      </c>
      <c r="W203" s="153"/>
    </row>
    <row r="204" spans="1:23" s="12" customFormat="1" ht="16.5" customHeight="1" x14ac:dyDescent="0.2">
      <c r="A204" s="230"/>
      <c r="B204" s="13"/>
      <c r="C204" s="30"/>
      <c r="D204" s="13"/>
      <c r="E204" s="234" t="s">
        <v>22</v>
      </c>
      <c r="F204" s="13"/>
      <c r="G204" s="13"/>
      <c r="H204" s="13"/>
      <c r="I204" s="163"/>
      <c r="J204" s="151"/>
      <c r="K204" s="162"/>
      <c r="L204" s="185"/>
      <c r="M204" s="163"/>
      <c r="N204" s="151"/>
      <c r="O204" s="151"/>
      <c r="P204" s="162"/>
      <c r="Q204" s="185"/>
      <c r="R204" s="163"/>
      <c r="S204" s="151"/>
      <c r="T204" s="151"/>
      <c r="U204" s="162"/>
      <c r="V204" s="162"/>
      <c r="W204" s="153"/>
    </row>
    <row r="205" spans="1:23" s="12" customFormat="1" ht="15.75" customHeight="1" x14ac:dyDescent="0.2">
      <c r="A205" s="230"/>
      <c r="B205" s="13"/>
      <c r="C205" s="30"/>
      <c r="D205" s="13"/>
      <c r="E205" s="235" t="s">
        <v>83</v>
      </c>
      <c r="F205" s="13"/>
      <c r="G205" s="13"/>
      <c r="H205" s="13"/>
      <c r="I205" s="163">
        <f t="shared" ref="I205:V205" si="133">SUM(I13,I18,I57,I67,I99,I106,I111,I119,I126)</f>
        <v>220153322</v>
      </c>
      <c r="J205" s="163">
        <f t="shared" si="133"/>
        <v>0</v>
      </c>
      <c r="K205" s="162">
        <f>SUM(K13,K18,K57,K67,K99,K106,K111,K119,K126)</f>
        <v>264887651</v>
      </c>
      <c r="L205" s="185">
        <f>SUM(L13,L18,L57,L67,L99,L106,L111,L119,L126)</f>
        <v>264677595.39999998</v>
      </c>
      <c r="M205" s="163">
        <f t="shared" si="133"/>
        <v>181668547</v>
      </c>
      <c r="N205" s="163">
        <f t="shared" si="133"/>
        <v>414324</v>
      </c>
      <c r="O205" s="163">
        <f t="shared" si="133"/>
        <v>45135613</v>
      </c>
      <c r="P205" s="162">
        <f t="shared" si="133"/>
        <v>226389836</v>
      </c>
      <c r="Q205" s="185">
        <f t="shared" si="133"/>
        <v>226382579.53999999</v>
      </c>
      <c r="R205" s="163">
        <f t="shared" si="133"/>
        <v>38484775</v>
      </c>
      <c r="S205" s="163">
        <f t="shared" si="133"/>
        <v>3460960</v>
      </c>
      <c r="T205" s="163">
        <f t="shared" si="133"/>
        <v>3474000</v>
      </c>
      <c r="U205" s="162">
        <f t="shared" si="133"/>
        <v>38497815</v>
      </c>
      <c r="V205" s="162">
        <f t="shared" si="133"/>
        <v>38295015.859999999</v>
      </c>
      <c r="W205" s="153"/>
    </row>
    <row r="206" spans="1:23" s="12" customFormat="1" ht="15" customHeight="1" x14ac:dyDescent="0.2">
      <c r="A206" s="25"/>
      <c r="B206" s="231"/>
      <c r="C206" s="232"/>
      <c r="D206" s="231"/>
      <c r="E206" s="87" t="s">
        <v>11</v>
      </c>
      <c r="F206" s="231"/>
      <c r="G206" s="231"/>
      <c r="H206" s="231"/>
      <c r="I206" s="174">
        <f t="shared" ref="I206:V206" si="134">SUM(I43,I60,I149)</f>
        <v>32120930</v>
      </c>
      <c r="J206" s="174">
        <f t="shared" si="134"/>
        <v>0</v>
      </c>
      <c r="K206" s="173">
        <f t="shared" si="134"/>
        <v>39926012</v>
      </c>
      <c r="L206" s="190">
        <f t="shared" si="134"/>
        <v>39923224.43</v>
      </c>
      <c r="M206" s="174">
        <f t="shared" si="134"/>
        <v>25870930</v>
      </c>
      <c r="N206" s="174">
        <f t="shared" si="134"/>
        <v>0</v>
      </c>
      <c r="O206" s="174">
        <f t="shared" si="134"/>
        <v>7582800</v>
      </c>
      <c r="P206" s="173">
        <f t="shared" si="134"/>
        <v>33453730</v>
      </c>
      <c r="Q206" s="190">
        <f t="shared" si="134"/>
        <v>33453730</v>
      </c>
      <c r="R206" s="174">
        <f t="shared" si="134"/>
        <v>6250000</v>
      </c>
      <c r="S206" s="174">
        <f t="shared" si="134"/>
        <v>0</v>
      </c>
      <c r="T206" s="174">
        <f t="shared" si="134"/>
        <v>222282</v>
      </c>
      <c r="U206" s="173">
        <f t="shared" si="134"/>
        <v>6472282</v>
      </c>
      <c r="V206" s="173">
        <f t="shared" si="134"/>
        <v>6469494.4299999997</v>
      </c>
      <c r="W206" s="153"/>
    </row>
    <row r="207" spans="1:23" s="12" customFormat="1" x14ac:dyDescent="0.2">
      <c r="A207" s="13"/>
      <c r="B207" s="13"/>
      <c r="C207" s="30"/>
      <c r="D207" s="13"/>
      <c r="E207" s="13"/>
      <c r="F207" s="13"/>
      <c r="I207" s="297"/>
      <c r="K207" s="297"/>
      <c r="L207" s="297"/>
      <c r="M207" s="297"/>
      <c r="P207" s="297"/>
      <c r="Q207" s="297"/>
      <c r="R207" s="297"/>
      <c r="U207" s="297"/>
      <c r="V207" s="297"/>
      <c r="W207" s="153"/>
    </row>
    <row r="208" spans="1:23" s="12" customFormat="1" hidden="1" x14ac:dyDescent="0.2">
      <c r="A208" s="13"/>
      <c r="B208" s="13"/>
      <c r="C208" s="30"/>
      <c r="D208" s="13"/>
      <c r="E208" s="283" t="s">
        <v>86</v>
      </c>
      <c r="F208" s="283"/>
      <c r="G208" s="284"/>
      <c r="H208" s="284"/>
      <c r="I208" s="303"/>
      <c r="J208" s="282">
        <f t="shared" ref="J208:L208" si="135">SUM(J209:J210)</f>
        <v>19890900</v>
      </c>
      <c r="K208" s="304">
        <f t="shared" si="135"/>
        <v>267293566</v>
      </c>
      <c r="L208" s="307">
        <f t="shared" si="135"/>
        <v>267286309.53999999</v>
      </c>
      <c r="M208" s="297"/>
      <c r="P208" s="297"/>
      <c r="Q208" s="297"/>
      <c r="R208" s="297"/>
      <c r="U208" s="297"/>
      <c r="V208" s="297"/>
      <c r="W208" s="153"/>
    </row>
    <row r="209" spans="1:23" s="12" customFormat="1" hidden="1" x14ac:dyDescent="0.2">
      <c r="A209" s="13"/>
      <c r="B209" s="13"/>
      <c r="C209" s="30"/>
      <c r="D209" s="13"/>
      <c r="E209" s="13" t="s">
        <v>84</v>
      </c>
      <c r="F209" s="13"/>
      <c r="I209" s="288"/>
      <c r="J209" s="153">
        <f t="shared" ref="J209" si="136">SUM(J19,J21,J22,J24,J26,J28,J32,J33,J58,J68,J73,J81,J85,J89,J91,J92,J94,J100,J107,J112,J120,J127,J132,J139,J142,J145)</f>
        <v>5258520</v>
      </c>
      <c r="K209" s="305">
        <f>SUM(K14,K19,K21,K22,K24,K26,K28,K32,K33,K58,K68,K73,K81,K85,K89,K91,K92,K94,K100,K107,K111,K120,K127,K132,K139,K142,K145)</f>
        <v>229339836</v>
      </c>
      <c r="L209" s="308">
        <f>SUM(L14,L19,L21,L22,L24,L26,L28,L32,L33,L58,L68,L73,L81,L85,L89,L91,L92,L94,L100,L107,L111,L120,L127,L132,L139,L142,L145)</f>
        <v>229332579.53999999</v>
      </c>
      <c r="M209" s="297"/>
      <c r="P209" s="297"/>
      <c r="Q209" s="297"/>
      <c r="R209" s="297"/>
      <c r="U209" s="297"/>
      <c r="V209" s="297"/>
      <c r="W209" s="153"/>
    </row>
    <row r="210" spans="1:23" s="12" customFormat="1" hidden="1" x14ac:dyDescent="0.2">
      <c r="A210" s="13"/>
      <c r="B210" s="13"/>
      <c r="C210" s="30"/>
      <c r="D210" s="13"/>
      <c r="E210" s="13" t="s">
        <v>85</v>
      </c>
      <c r="F210" s="13"/>
      <c r="I210" s="288"/>
      <c r="J210" s="153">
        <f t="shared" ref="J210" si="137">SUM(J46,J48,J49,J61,J62,J150,J156)</f>
        <v>14632380</v>
      </c>
      <c r="K210" s="305">
        <f>SUM(K46,K48,K49,K61,K62,K150,K156)</f>
        <v>37953730</v>
      </c>
      <c r="L210" s="308">
        <f t="shared" ref="L210" si="138">SUM(L46,L48,L49,L61,L62,L150,L156)</f>
        <v>37953730</v>
      </c>
      <c r="M210" s="297"/>
      <c r="P210" s="297"/>
      <c r="Q210" s="297"/>
      <c r="R210" s="297"/>
      <c r="U210" s="297"/>
      <c r="V210" s="297"/>
      <c r="W210" s="153"/>
    </row>
    <row r="211" spans="1:23" s="12" customFormat="1" hidden="1" x14ac:dyDescent="0.2">
      <c r="A211" s="13"/>
      <c r="B211" s="13"/>
      <c r="C211" s="30"/>
      <c r="D211" s="13"/>
      <c r="E211" s="13"/>
      <c r="F211" s="13"/>
      <c r="I211" s="297"/>
      <c r="K211" s="306"/>
      <c r="L211" s="297"/>
      <c r="M211" s="297"/>
      <c r="P211" s="297"/>
      <c r="Q211" s="297"/>
      <c r="R211" s="297"/>
      <c r="U211" s="297"/>
      <c r="V211" s="297"/>
      <c r="W211" s="153"/>
    </row>
    <row r="212" spans="1:23" s="12" customFormat="1" ht="23.25" hidden="1" customHeight="1" x14ac:dyDescent="0.2">
      <c r="A212" s="13"/>
      <c r="B212" s="13"/>
      <c r="C212" s="30"/>
      <c r="D212" s="13"/>
      <c r="E212" s="285" t="s">
        <v>87</v>
      </c>
      <c r="F212" s="13"/>
      <c r="I212" s="303"/>
      <c r="J212" s="282">
        <f t="shared" ref="J212:L212" si="139">SUM(J213:J214)</f>
        <v>-19890900</v>
      </c>
      <c r="K212" s="304">
        <f t="shared" si="139"/>
        <v>37520097</v>
      </c>
      <c r="L212" s="303">
        <f t="shared" si="139"/>
        <v>37314510.289999984</v>
      </c>
      <c r="M212" s="297"/>
      <c r="P212" s="297"/>
      <c r="Q212" s="297"/>
      <c r="R212" s="297"/>
      <c r="U212" s="297"/>
      <c r="V212" s="297"/>
      <c r="W212" s="153"/>
    </row>
    <row r="213" spans="1:23" s="12" customFormat="1" hidden="1" x14ac:dyDescent="0.2">
      <c r="A213" s="13"/>
      <c r="B213" s="13"/>
      <c r="C213" s="30"/>
      <c r="D213" s="13"/>
      <c r="E213" s="13" t="s">
        <v>84</v>
      </c>
      <c r="F213" s="13"/>
      <c r="I213" s="288"/>
      <c r="J213" s="153">
        <f t="shared" ref="J213:K213" si="140">SUM(J205-J209)</f>
        <v>-5258520</v>
      </c>
      <c r="K213" s="305">
        <f t="shared" si="140"/>
        <v>35547815</v>
      </c>
      <c r="L213" s="288">
        <f t="shared" ref="L213" si="141">SUM(L205-L209)</f>
        <v>35345015.859999985</v>
      </c>
      <c r="M213" s="297"/>
      <c r="P213" s="297"/>
      <c r="Q213" s="297"/>
      <c r="R213" s="297"/>
      <c r="U213" s="297"/>
      <c r="V213" s="297"/>
      <c r="W213" s="153"/>
    </row>
    <row r="214" spans="1:23" s="12" customFormat="1" hidden="1" x14ac:dyDescent="0.2">
      <c r="A214" s="13"/>
      <c r="B214" s="13"/>
      <c r="C214" s="30"/>
      <c r="D214" s="13"/>
      <c r="E214" s="13" t="s">
        <v>85</v>
      </c>
      <c r="F214" s="13"/>
      <c r="I214" s="288"/>
      <c r="J214" s="153">
        <f t="shared" ref="J214:K214" si="142">SUM(J206-J210)</f>
        <v>-14632380</v>
      </c>
      <c r="K214" s="305">
        <f t="shared" si="142"/>
        <v>1972282</v>
      </c>
      <c r="L214" s="288">
        <f t="shared" ref="L214" si="143">SUM(L206-L210)</f>
        <v>1969494.4299999997</v>
      </c>
      <c r="M214" s="297"/>
      <c r="P214" s="297"/>
      <c r="Q214" s="297"/>
      <c r="R214" s="297"/>
      <c r="U214" s="297"/>
      <c r="V214" s="297"/>
      <c r="W214" s="153"/>
    </row>
    <row r="215" spans="1:23" s="12" customFormat="1" x14ac:dyDescent="0.2">
      <c r="A215" s="13"/>
      <c r="B215" s="13"/>
      <c r="C215" s="30"/>
      <c r="D215" s="13"/>
      <c r="E215" s="13"/>
      <c r="F215" s="13"/>
      <c r="I215" s="288"/>
      <c r="K215" s="297"/>
      <c r="L215" s="297"/>
      <c r="M215" s="297"/>
      <c r="P215" s="297"/>
      <c r="Q215" s="297"/>
      <c r="R215" s="297"/>
      <c r="U215" s="297"/>
      <c r="V215" s="297"/>
      <c r="W215" s="153"/>
    </row>
    <row r="216" spans="1:23" s="12" customFormat="1" x14ac:dyDescent="0.2">
      <c r="A216" s="13"/>
      <c r="B216" s="13"/>
      <c r="C216" s="30"/>
      <c r="D216" s="13"/>
      <c r="E216" s="13"/>
      <c r="F216" s="13"/>
      <c r="I216" s="297"/>
      <c r="K216" s="297"/>
      <c r="L216" s="297"/>
      <c r="M216" s="297"/>
      <c r="P216" s="297"/>
      <c r="Q216" s="297"/>
      <c r="R216" s="297"/>
      <c r="U216" s="297"/>
      <c r="V216" s="297"/>
      <c r="W216" s="153"/>
    </row>
    <row r="217" spans="1:23" s="12" customFormat="1" x14ac:dyDescent="0.2">
      <c r="A217" s="13"/>
      <c r="B217" s="13"/>
      <c r="C217" s="30"/>
      <c r="D217" s="13"/>
      <c r="E217" s="13"/>
      <c r="F217" s="13"/>
      <c r="I217" s="297"/>
      <c r="K217" s="297"/>
      <c r="L217" s="297"/>
      <c r="M217" s="297"/>
      <c r="P217" s="297"/>
      <c r="Q217" s="297"/>
      <c r="R217" s="297"/>
      <c r="U217" s="297"/>
      <c r="V217" s="297"/>
      <c r="W217" s="153"/>
    </row>
    <row r="218" spans="1:23" s="12" customFormat="1" x14ac:dyDescent="0.2">
      <c r="A218" s="13"/>
      <c r="B218" s="13"/>
      <c r="C218" s="30"/>
      <c r="D218" s="13"/>
      <c r="E218" s="13"/>
      <c r="F218" s="13"/>
      <c r="I218" s="297"/>
      <c r="K218" s="297"/>
      <c r="L218" s="297"/>
      <c r="M218" s="297"/>
      <c r="P218" s="297"/>
      <c r="Q218" s="297"/>
      <c r="R218" s="297"/>
      <c r="U218" s="297"/>
      <c r="V218" s="297"/>
      <c r="W218" s="153"/>
    </row>
    <row r="219" spans="1:23" s="12" customFormat="1" x14ac:dyDescent="0.2">
      <c r="A219" s="13"/>
      <c r="B219" s="13"/>
      <c r="C219" s="30"/>
      <c r="D219" s="13"/>
      <c r="E219" s="13"/>
      <c r="F219" s="13"/>
      <c r="I219" s="297"/>
      <c r="K219" s="297"/>
      <c r="L219" s="297"/>
      <c r="M219" s="297"/>
      <c r="P219" s="297"/>
      <c r="Q219" s="297"/>
      <c r="R219" s="297"/>
      <c r="U219" s="297"/>
      <c r="V219" s="297"/>
      <c r="W219" s="153"/>
    </row>
    <row r="220" spans="1:23" s="12" customFormat="1" x14ac:dyDescent="0.2">
      <c r="A220" s="13"/>
      <c r="B220" s="13"/>
      <c r="C220" s="30"/>
      <c r="D220" s="13"/>
      <c r="E220" s="13"/>
      <c r="F220" s="13"/>
      <c r="I220" s="297"/>
      <c r="K220" s="297"/>
      <c r="L220" s="297"/>
      <c r="M220" s="297"/>
      <c r="P220" s="297"/>
      <c r="Q220" s="297"/>
      <c r="R220" s="297"/>
      <c r="U220" s="297"/>
      <c r="V220" s="297"/>
      <c r="W220" s="153"/>
    </row>
    <row r="221" spans="1:23" s="12" customFormat="1" x14ac:dyDescent="0.2">
      <c r="A221" s="13"/>
      <c r="B221" s="13"/>
      <c r="C221" s="30"/>
      <c r="D221" s="13"/>
      <c r="E221" s="13"/>
      <c r="F221" s="13"/>
      <c r="I221" s="297"/>
      <c r="K221" s="297"/>
      <c r="L221" s="297"/>
      <c r="M221" s="297"/>
      <c r="P221" s="297"/>
      <c r="Q221" s="297"/>
      <c r="R221" s="297"/>
      <c r="U221" s="297"/>
      <c r="V221" s="297"/>
      <c r="W221" s="153"/>
    </row>
    <row r="222" spans="1:23" s="12" customFormat="1" x14ac:dyDescent="0.2">
      <c r="A222" s="13"/>
      <c r="B222" s="13"/>
      <c r="C222" s="30"/>
      <c r="D222" s="13"/>
      <c r="E222" s="13"/>
      <c r="F222" s="13"/>
      <c r="I222" s="297"/>
      <c r="K222" s="297"/>
      <c r="L222" s="297"/>
      <c r="M222" s="297"/>
      <c r="P222" s="297"/>
      <c r="Q222" s="297"/>
      <c r="R222" s="297"/>
      <c r="U222" s="297"/>
      <c r="V222" s="297"/>
      <c r="W222" s="153"/>
    </row>
    <row r="223" spans="1:23" s="12" customFormat="1" x14ac:dyDescent="0.2">
      <c r="A223" s="13"/>
      <c r="B223" s="13"/>
      <c r="C223" s="30"/>
      <c r="D223" s="13"/>
      <c r="E223" s="13"/>
      <c r="F223" s="13"/>
      <c r="I223" s="297"/>
      <c r="K223" s="297"/>
      <c r="L223" s="297"/>
      <c r="M223" s="297"/>
      <c r="P223" s="297"/>
      <c r="Q223" s="297"/>
      <c r="R223" s="297"/>
      <c r="U223" s="297"/>
      <c r="V223" s="297"/>
      <c r="W223" s="153"/>
    </row>
    <row r="224" spans="1:23" s="12" customFormat="1" x14ac:dyDescent="0.2">
      <c r="A224" s="13"/>
      <c r="B224" s="13"/>
      <c r="C224" s="30"/>
      <c r="D224" s="13"/>
      <c r="E224" s="13"/>
      <c r="F224" s="13"/>
      <c r="I224" s="297"/>
      <c r="K224" s="297"/>
      <c r="L224" s="297"/>
      <c r="M224" s="297"/>
      <c r="P224" s="297"/>
      <c r="Q224" s="297"/>
      <c r="R224" s="297"/>
      <c r="U224" s="297"/>
      <c r="V224" s="297"/>
      <c r="W224" s="153"/>
    </row>
    <row r="225" spans="1:23" s="12" customFormat="1" x14ac:dyDescent="0.2">
      <c r="A225" s="13"/>
      <c r="B225" s="13"/>
      <c r="C225" s="30"/>
      <c r="D225" s="13"/>
      <c r="E225" s="13"/>
      <c r="F225" s="13"/>
      <c r="I225" s="297"/>
      <c r="K225" s="297"/>
      <c r="L225" s="297"/>
      <c r="M225" s="297"/>
      <c r="P225" s="297"/>
      <c r="Q225" s="297"/>
      <c r="R225" s="297"/>
      <c r="U225" s="297"/>
      <c r="V225" s="297"/>
      <c r="W225" s="153"/>
    </row>
    <row r="226" spans="1:23" s="12" customFormat="1" x14ac:dyDescent="0.2">
      <c r="A226" s="13"/>
      <c r="B226" s="13"/>
      <c r="C226" s="30"/>
      <c r="D226" s="13"/>
      <c r="E226" s="13"/>
      <c r="F226" s="13"/>
      <c r="I226" s="297"/>
      <c r="K226" s="297"/>
      <c r="L226" s="297"/>
      <c r="M226" s="297"/>
      <c r="P226" s="297"/>
      <c r="Q226" s="297"/>
      <c r="R226" s="297"/>
      <c r="U226" s="297"/>
      <c r="V226" s="297"/>
      <c r="W226" s="153"/>
    </row>
    <row r="227" spans="1:23" s="12" customFormat="1" x14ac:dyDescent="0.2">
      <c r="A227" s="13"/>
      <c r="B227" s="13"/>
      <c r="C227" s="30"/>
      <c r="D227" s="13"/>
      <c r="E227" s="13"/>
      <c r="F227" s="13"/>
      <c r="I227" s="297"/>
      <c r="K227" s="297"/>
      <c r="L227" s="297"/>
      <c r="M227" s="297"/>
      <c r="P227" s="297"/>
      <c r="Q227" s="297"/>
      <c r="R227" s="297"/>
      <c r="U227" s="297"/>
      <c r="V227" s="297"/>
      <c r="W227" s="153"/>
    </row>
    <row r="228" spans="1:23" s="12" customFormat="1" x14ac:dyDescent="0.2">
      <c r="A228" s="13"/>
      <c r="B228" s="13"/>
      <c r="C228" s="30"/>
      <c r="D228" s="13"/>
      <c r="E228" s="13"/>
      <c r="F228" s="13"/>
      <c r="I228" s="297"/>
      <c r="K228" s="297"/>
      <c r="L228" s="297"/>
      <c r="M228" s="297"/>
      <c r="P228" s="297"/>
      <c r="Q228" s="297"/>
      <c r="R228" s="297"/>
      <c r="U228" s="297"/>
      <c r="V228" s="297"/>
      <c r="W228" s="153"/>
    </row>
    <row r="229" spans="1:23" s="12" customFormat="1" x14ac:dyDescent="0.2">
      <c r="A229" s="13"/>
      <c r="B229" s="13"/>
      <c r="C229" s="30"/>
      <c r="D229" s="13"/>
      <c r="E229" s="13"/>
      <c r="F229" s="13"/>
      <c r="I229" s="297"/>
      <c r="K229" s="297"/>
      <c r="L229" s="297"/>
      <c r="M229" s="297"/>
      <c r="P229" s="297"/>
      <c r="Q229" s="297"/>
      <c r="R229" s="297"/>
      <c r="U229" s="297"/>
      <c r="V229" s="297"/>
      <c r="W229" s="153"/>
    </row>
    <row r="230" spans="1:23" s="12" customFormat="1" x14ac:dyDescent="0.2">
      <c r="A230" s="13"/>
      <c r="B230" s="13"/>
      <c r="C230" s="30"/>
      <c r="D230" s="13"/>
      <c r="E230" s="13"/>
      <c r="F230" s="13"/>
      <c r="I230" s="297"/>
      <c r="K230" s="297"/>
      <c r="L230" s="297"/>
      <c r="M230" s="297"/>
      <c r="P230" s="297"/>
      <c r="Q230" s="297"/>
      <c r="R230" s="297"/>
      <c r="U230" s="297"/>
      <c r="V230" s="297"/>
      <c r="W230" s="153"/>
    </row>
    <row r="231" spans="1:23" s="12" customFormat="1" x14ac:dyDescent="0.2">
      <c r="A231" s="13"/>
      <c r="B231" s="13"/>
      <c r="C231" s="30"/>
      <c r="D231" s="13"/>
      <c r="E231" s="13"/>
      <c r="F231" s="13"/>
      <c r="I231" s="297"/>
      <c r="K231" s="297"/>
      <c r="L231" s="297"/>
      <c r="M231" s="297"/>
      <c r="P231" s="297"/>
      <c r="Q231" s="297"/>
      <c r="R231" s="297"/>
      <c r="U231" s="297"/>
      <c r="V231" s="297"/>
      <c r="W231" s="153"/>
    </row>
    <row r="232" spans="1:23" s="12" customFormat="1" x14ac:dyDescent="0.2">
      <c r="A232" s="13"/>
      <c r="B232" s="13"/>
      <c r="C232" s="30"/>
      <c r="D232" s="13"/>
      <c r="E232" s="13"/>
      <c r="F232" s="13"/>
      <c r="I232" s="297"/>
      <c r="K232" s="297"/>
      <c r="L232" s="297"/>
      <c r="M232" s="297"/>
      <c r="P232" s="297"/>
      <c r="Q232" s="297"/>
      <c r="R232" s="297"/>
      <c r="U232" s="297"/>
      <c r="V232" s="297"/>
      <c r="W232" s="153"/>
    </row>
    <row r="233" spans="1:23" s="12" customFormat="1" x14ac:dyDescent="0.2">
      <c r="A233" s="13"/>
      <c r="B233" s="13"/>
      <c r="C233" s="30"/>
      <c r="D233" s="13"/>
      <c r="E233" s="13"/>
      <c r="F233" s="13"/>
      <c r="I233" s="297"/>
      <c r="K233" s="297"/>
      <c r="L233" s="297"/>
      <c r="M233" s="297"/>
      <c r="P233" s="297"/>
      <c r="Q233" s="297"/>
      <c r="R233" s="297"/>
      <c r="U233" s="297"/>
      <c r="V233" s="297"/>
      <c r="W233" s="153"/>
    </row>
    <row r="234" spans="1:23" s="12" customFormat="1" x14ac:dyDescent="0.2">
      <c r="A234" s="13"/>
      <c r="B234" s="13"/>
      <c r="C234" s="30"/>
      <c r="D234" s="13"/>
      <c r="E234" s="13"/>
      <c r="F234" s="13"/>
      <c r="I234" s="297"/>
      <c r="K234" s="297"/>
      <c r="L234" s="297"/>
      <c r="M234" s="297"/>
      <c r="P234" s="297"/>
      <c r="Q234" s="297"/>
      <c r="R234" s="297"/>
      <c r="U234" s="297"/>
      <c r="V234" s="297"/>
      <c r="W234" s="153"/>
    </row>
    <row r="235" spans="1:23" s="12" customFormat="1" x14ac:dyDescent="0.2">
      <c r="A235" s="13"/>
      <c r="B235" s="13"/>
      <c r="C235" s="30"/>
      <c r="D235" s="13"/>
      <c r="E235" s="13"/>
      <c r="F235" s="13"/>
      <c r="I235" s="297"/>
      <c r="K235" s="297"/>
      <c r="L235" s="297"/>
      <c r="M235" s="297"/>
      <c r="P235" s="297"/>
      <c r="Q235" s="297"/>
      <c r="R235" s="297"/>
      <c r="U235" s="297"/>
      <c r="V235" s="297"/>
      <c r="W235" s="153"/>
    </row>
    <row r="236" spans="1:23" s="12" customFormat="1" x14ac:dyDescent="0.2">
      <c r="A236" s="13"/>
      <c r="B236" s="13"/>
      <c r="C236" s="30"/>
      <c r="D236" s="13"/>
      <c r="E236" s="13"/>
      <c r="F236" s="13"/>
      <c r="I236" s="297"/>
      <c r="K236" s="297"/>
      <c r="L236" s="297"/>
      <c r="M236" s="297"/>
      <c r="P236" s="297"/>
      <c r="Q236" s="297"/>
      <c r="R236" s="297"/>
      <c r="U236" s="297"/>
      <c r="V236" s="297"/>
      <c r="W236" s="153"/>
    </row>
    <row r="237" spans="1:23" s="12" customFormat="1" x14ac:dyDescent="0.2">
      <c r="A237" s="13"/>
      <c r="B237" s="13"/>
      <c r="C237" s="30"/>
      <c r="D237" s="13"/>
      <c r="E237" s="13"/>
      <c r="F237" s="13"/>
      <c r="I237" s="297"/>
      <c r="K237" s="297"/>
      <c r="L237" s="297"/>
      <c r="M237" s="297"/>
      <c r="P237" s="297"/>
      <c r="Q237" s="297"/>
      <c r="R237" s="297"/>
      <c r="U237" s="297"/>
      <c r="V237" s="297"/>
      <c r="W237" s="153"/>
    </row>
    <row r="238" spans="1:23" s="12" customFormat="1" x14ac:dyDescent="0.2">
      <c r="A238" s="13"/>
      <c r="B238" s="13"/>
      <c r="C238" s="30"/>
      <c r="D238" s="13"/>
      <c r="E238" s="13"/>
      <c r="F238" s="13"/>
      <c r="I238" s="297"/>
      <c r="K238" s="297"/>
      <c r="L238" s="297"/>
      <c r="M238" s="297"/>
      <c r="P238" s="297"/>
      <c r="Q238" s="297"/>
      <c r="R238" s="297"/>
      <c r="U238" s="297"/>
      <c r="V238" s="297"/>
      <c r="W238" s="153"/>
    </row>
    <row r="239" spans="1:23" s="12" customFormat="1" x14ac:dyDescent="0.2">
      <c r="A239" s="13"/>
      <c r="B239" s="13"/>
      <c r="C239" s="30"/>
      <c r="D239" s="13"/>
      <c r="E239" s="13"/>
      <c r="F239" s="13"/>
      <c r="I239" s="297"/>
      <c r="K239" s="297"/>
      <c r="L239" s="297"/>
      <c r="M239" s="297"/>
      <c r="P239" s="297"/>
      <c r="Q239" s="297"/>
      <c r="R239" s="297"/>
      <c r="U239" s="297"/>
      <c r="V239" s="297"/>
      <c r="W239" s="153"/>
    </row>
    <row r="240" spans="1:23" s="12" customFormat="1" x14ac:dyDescent="0.2">
      <c r="A240" s="13"/>
      <c r="B240" s="13"/>
      <c r="C240" s="30"/>
      <c r="D240" s="13"/>
      <c r="E240" s="13"/>
      <c r="F240" s="13"/>
      <c r="I240" s="297"/>
      <c r="K240" s="297"/>
      <c r="L240" s="297"/>
      <c r="M240" s="297"/>
      <c r="P240" s="297"/>
      <c r="Q240" s="297"/>
      <c r="R240" s="297"/>
      <c r="U240" s="297"/>
      <c r="V240" s="297"/>
      <c r="W240" s="153"/>
    </row>
    <row r="241" spans="1:23" s="12" customFormat="1" x14ac:dyDescent="0.2">
      <c r="A241" s="13"/>
      <c r="B241" s="13"/>
      <c r="C241" s="30"/>
      <c r="D241" s="13"/>
      <c r="E241" s="13"/>
      <c r="F241" s="13"/>
      <c r="I241" s="297"/>
      <c r="K241" s="297"/>
      <c r="L241" s="297"/>
      <c r="M241" s="297"/>
      <c r="P241" s="297"/>
      <c r="Q241" s="297"/>
      <c r="R241" s="297"/>
      <c r="U241" s="297"/>
      <c r="V241" s="297"/>
      <c r="W241" s="153"/>
    </row>
    <row r="242" spans="1:23" s="12" customFormat="1" x14ac:dyDescent="0.2">
      <c r="A242" s="13"/>
      <c r="B242" s="13"/>
      <c r="C242" s="30"/>
      <c r="D242" s="13"/>
      <c r="E242" s="13"/>
      <c r="F242" s="13"/>
      <c r="I242" s="297"/>
      <c r="K242" s="297"/>
      <c r="L242" s="297"/>
      <c r="M242" s="297"/>
      <c r="P242" s="297"/>
      <c r="Q242" s="297"/>
      <c r="R242" s="297"/>
      <c r="U242" s="297"/>
      <c r="V242" s="297"/>
      <c r="W242" s="153"/>
    </row>
    <row r="243" spans="1:23" s="12" customFormat="1" x14ac:dyDescent="0.2">
      <c r="A243" s="13"/>
      <c r="B243" s="13"/>
      <c r="C243" s="30"/>
      <c r="D243" s="13"/>
      <c r="E243" s="13"/>
      <c r="F243" s="13"/>
      <c r="I243" s="297"/>
      <c r="K243" s="297"/>
      <c r="L243" s="297"/>
      <c r="M243" s="297"/>
      <c r="P243" s="297"/>
      <c r="Q243" s="297"/>
      <c r="R243" s="297"/>
      <c r="U243" s="297"/>
      <c r="V243" s="297"/>
      <c r="W243" s="153"/>
    </row>
    <row r="244" spans="1:23" s="12" customFormat="1" x14ac:dyDescent="0.2">
      <c r="A244" s="13"/>
      <c r="B244" s="13"/>
      <c r="C244" s="30"/>
      <c r="D244" s="13"/>
      <c r="E244" s="13"/>
      <c r="F244" s="13"/>
      <c r="I244" s="297"/>
      <c r="K244" s="297"/>
      <c r="L244" s="297"/>
      <c r="M244" s="297"/>
      <c r="P244" s="297"/>
      <c r="Q244" s="297"/>
      <c r="R244" s="297"/>
      <c r="U244" s="297"/>
      <c r="V244" s="297"/>
      <c r="W244" s="153"/>
    </row>
    <row r="245" spans="1:23" s="12" customFormat="1" x14ac:dyDescent="0.2">
      <c r="A245" s="13"/>
      <c r="B245" s="13"/>
      <c r="C245" s="30"/>
      <c r="D245" s="13"/>
      <c r="E245" s="13"/>
      <c r="F245" s="13"/>
      <c r="I245" s="297"/>
      <c r="K245" s="297"/>
      <c r="L245" s="297"/>
      <c r="M245" s="297"/>
      <c r="P245" s="297"/>
      <c r="Q245" s="297"/>
      <c r="R245" s="297"/>
      <c r="U245" s="297"/>
      <c r="V245" s="297"/>
      <c r="W245" s="153"/>
    </row>
    <row r="246" spans="1:23" s="12" customFormat="1" x14ac:dyDescent="0.2">
      <c r="A246" s="13"/>
      <c r="B246" s="13"/>
      <c r="C246" s="30"/>
      <c r="D246" s="13"/>
      <c r="E246" s="13"/>
      <c r="F246" s="13"/>
      <c r="I246" s="297"/>
      <c r="K246" s="297"/>
      <c r="L246" s="297"/>
      <c r="M246" s="297"/>
      <c r="P246" s="297"/>
      <c r="Q246" s="297"/>
      <c r="R246" s="297"/>
      <c r="U246" s="297"/>
      <c r="V246" s="297"/>
      <c r="W246" s="153"/>
    </row>
    <row r="247" spans="1:23" s="12" customFormat="1" x14ac:dyDescent="0.2">
      <c r="A247" s="13"/>
      <c r="B247" s="13"/>
      <c r="C247" s="30"/>
      <c r="D247" s="13"/>
      <c r="E247" s="13"/>
      <c r="F247" s="13"/>
      <c r="I247" s="297"/>
      <c r="K247" s="297"/>
      <c r="L247" s="297"/>
      <c r="M247" s="297"/>
      <c r="P247" s="297"/>
      <c r="Q247" s="297"/>
      <c r="R247" s="297"/>
      <c r="U247" s="297"/>
      <c r="V247" s="297"/>
      <c r="W247" s="153"/>
    </row>
    <row r="248" spans="1:23" s="12" customFormat="1" x14ac:dyDescent="0.2">
      <c r="A248" s="13"/>
      <c r="B248" s="13"/>
      <c r="C248" s="30"/>
      <c r="D248" s="13"/>
      <c r="E248" s="13"/>
      <c r="F248" s="13"/>
      <c r="I248" s="297"/>
      <c r="K248" s="297"/>
      <c r="L248" s="297"/>
      <c r="M248" s="297"/>
      <c r="P248" s="297"/>
      <c r="Q248" s="297"/>
      <c r="R248" s="297"/>
      <c r="U248" s="297"/>
      <c r="V248" s="297"/>
      <c r="W248" s="153"/>
    </row>
    <row r="249" spans="1:23" s="12" customFormat="1" x14ac:dyDescent="0.2">
      <c r="A249" s="13"/>
      <c r="B249" s="13"/>
      <c r="C249" s="30"/>
      <c r="D249" s="13"/>
      <c r="E249" s="13"/>
      <c r="F249" s="13"/>
      <c r="I249" s="297"/>
      <c r="K249" s="297"/>
      <c r="L249" s="297"/>
      <c r="M249" s="297"/>
      <c r="P249" s="297"/>
      <c r="Q249" s="297"/>
      <c r="R249" s="297"/>
      <c r="U249" s="297"/>
      <c r="V249" s="297"/>
      <c r="W249" s="153"/>
    </row>
    <row r="250" spans="1:23" s="12" customFormat="1" x14ac:dyDescent="0.2">
      <c r="A250" s="13"/>
      <c r="B250" s="13"/>
      <c r="C250" s="30"/>
      <c r="D250" s="13"/>
      <c r="E250" s="13"/>
      <c r="F250" s="13"/>
      <c r="I250" s="297"/>
      <c r="K250" s="297"/>
      <c r="L250" s="297"/>
      <c r="M250" s="297"/>
      <c r="P250" s="297"/>
      <c r="Q250" s="297"/>
      <c r="R250" s="297"/>
      <c r="U250" s="297"/>
      <c r="V250" s="297"/>
      <c r="W250" s="153"/>
    </row>
    <row r="251" spans="1:23" s="12" customFormat="1" x14ac:dyDescent="0.2">
      <c r="A251" s="13"/>
      <c r="B251" s="13"/>
      <c r="C251" s="30"/>
      <c r="D251" s="13"/>
      <c r="E251" s="13"/>
      <c r="F251" s="13"/>
      <c r="I251" s="297"/>
      <c r="K251" s="297"/>
      <c r="L251" s="297"/>
      <c r="M251" s="297"/>
      <c r="P251" s="297"/>
      <c r="Q251" s="297"/>
      <c r="R251" s="297"/>
      <c r="U251" s="297"/>
      <c r="V251" s="297"/>
      <c r="W251" s="153"/>
    </row>
    <row r="252" spans="1:23" s="12" customFormat="1" x14ac:dyDescent="0.2">
      <c r="A252" s="13"/>
      <c r="B252" s="13"/>
      <c r="C252" s="30"/>
      <c r="D252" s="13"/>
      <c r="E252" s="13"/>
      <c r="F252" s="13"/>
      <c r="I252" s="297"/>
      <c r="K252" s="297"/>
      <c r="L252" s="297"/>
      <c r="M252" s="297"/>
      <c r="P252" s="297"/>
      <c r="Q252" s="297"/>
      <c r="R252" s="297"/>
      <c r="U252" s="297"/>
      <c r="V252" s="297"/>
      <c r="W252" s="153"/>
    </row>
    <row r="253" spans="1:23" s="12" customFormat="1" x14ac:dyDescent="0.2">
      <c r="A253" s="13"/>
      <c r="B253" s="13"/>
      <c r="C253" s="30"/>
      <c r="D253" s="13"/>
      <c r="E253" s="13"/>
      <c r="F253" s="13"/>
      <c r="I253" s="297"/>
      <c r="K253" s="297"/>
      <c r="L253" s="297"/>
      <c r="M253" s="297"/>
      <c r="P253" s="297"/>
      <c r="Q253" s="297"/>
      <c r="R253" s="297"/>
      <c r="U253" s="297"/>
      <c r="V253" s="297"/>
      <c r="W253" s="153"/>
    </row>
    <row r="254" spans="1:23" s="12" customFormat="1" x14ac:dyDescent="0.2">
      <c r="A254" s="13"/>
      <c r="B254" s="13"/>
      <c r="C254" s="30"/>
      <c r="D254" s="13"/>
      <c r="E254" s="13"/>
      <c r="F254" s="13"/>
      <c r="I254" s="297"/>
      <c r="K254" s="297"/>
      <c r="L254" s="297"/>
      <c r="M254" s="297"/>
      <c r="P254" s="297"/>
      <c r="Q254" s="297"/>
      <c r="R254" s="297"/>
      <c r="U254" s="297"/>
      <c r="V254" s="297"/>
      <c r="W254" s="153"/>
    </row>
    <row r="255" spans="1:23" s="12" customFormat="1" x14ac:dyDescent="0.2">
      <c r="A255" s="13"/>
      <c r="B255" s="13"/>
      <c r="C255" s="30"/>
      <c r="D255" s="13"/>
      <c r="E255" s="13"/>
      <c r="F255" s="13"/>
      <c r="I255" s="297"/>
      <c r="K255" s="297"/>
      <c r="L255" s="297"/>
      <c r="M255" s="297"/>
      <c r="P255" s="297"/>
      <c r="Q255" s="297"/>
      <c r="R255" s="297"/>
      <c r="U255" s="297"/>
      <c r="V255" s="297"/>
      <c r="W255" s="153"/>
    </row>
    <row r="256" spans="1:23" s="12" customFormat="1" x14ac:dyDescent="0.2">
      <c r="A256" s="13"/>
      <c r="B256" s="13"/>
      <c r="C256" s="30"/>
      <c r="D256" s="13"/>
      <c r="E256" s="13"/>
      <c r="F256" s="13"/>
      <c r="I256" s="297"/>
      <c r="K256" s="297"/>
      <c r="L256" s="297"/>
      <c r="M256" s="297"/>
      <c r="P256" s="297"/>
      <c r="Q256" s="297"/>
      <c r="R256" s="297"/>
      <c r="U256" s="297"/>
      <c r="V256" s="297"/>
      <c r="W256" s="153"/>
    </row>
    <row r="257" spans="1:23" s="12" customFormat="1" x14ac:dyDescent="0.2">
      <c r="A257" s="13"/>
      <c r="B257" s="13"/>
      <c r="C257" s="30"/>
      <c r="D257" s="13"/>
      <c r="E257" s="13"/>
      <c r="F257" s="13"/>
      <c r="I257" s="297"/>
      <c r="K257" s="297"/>
      <c r="L257" s="297"/>
      <c r="M257" s="297"/>
      <c r="P257" s="297"/>
      <c r="Q257" s="297"/>
      <c r="R257" s="297"/>
      <c r="U257" s="297"/>
      <c r="V257" s="297"/>
      <c r="W257" s="153"/>
    </row>
    <row r="258" spans="1:23" s="12" customFormat="1" x14ac:dyDescent="0.2">
      <c r="A258" s="13"/>
      <c r="B258" s="13"/>
      <c r="C258" s="30"/>
      <c r="D258" s="13"/>
      <c r="E258" s="13"/>
      <c r="F258" s="13"/>
      <c r="I258" s="297"/>
      <c r="K258" s="297"/>
      <c r="L258" s="297"/>
      <c r="M258" s="297"/>
      <c r="P258" s="297"/>
      <c r="Q258" s="297"/>
      <c r="R258" s="297"/>
      <c r="U258" s="297"/>
      <c r="V258" s="297"/>
      <c r="W258" s="153"/>
    </row>
    <row r="259" spans="1:23" s="12" customFormat="1" x14ac:dyDescent="0.2">
      <c r="A259" s="13"/>
      <c r="B259" s="13"/>
      <c r="C259" s="30"/>
      <c r="D259" s="13"/>
      <c r="E259" s="13"/>
      <c r="F259" s="13"/>
      <c r="I259" s="297"/>
      <c r="K259" s="297"/>
      <c r="L259" s="297"/>
      <c r="M259" s="297"/>
      <c r="P259" s="297"/>
      <c r="Q259" s="297"/>
      <c r="R259" s="297"/>
      <c r="U259" s="297"/>
      <c r="V259" s="297"/>
      <c r="W259" s="153"/>
    </row>
    <row r="260" spans="1:23" s="12" customFormat="1" x14ac:dyDescent="0.2">
      <c r="A260" s="13"/>
      <c r="B260" s="13"/>
      <c r="C260" s="30"/>
      <c r="D260" s="13"/>
      <c r="E260" s="13"/>
      <c r="F260" s="13"/>
      <c r="I260" s="297"/>
      <c r="K260" s="297"/>
      <c r="L260" s="297"/>
      <c r="M260" s="297"/>
      <c r="P260" s="297"/>
      <c r="Q260" s="297"/>
      <c r="R260" s="297"/>
      <c r="U260" s="297"/>
      <c r="V260" s="297"/>
      <c r="W260" s="153"/>
    </row>
    <row r="261" spans="1:23" s="12" customFormat="1" x14ac:dyDescent="0.2">
      <c r="A261" s="13"/>
      <c r="B261" s="13"/>
      <c r="C261" s="30"/>
      <c r="D261" s="13"/>
      <c r="E261" s="13"/>
      <c r="F261" s="13"/>
      <c r="I261" s="297"/>
      <c r="K261" s="297"/>
      <c r="L261" s="297"/>
      <c r="M261" s="297"/>
      <c r="P261" s="297"/>
      <c r="Q261" s="297"/>
      <c r="R261" s="297"/>
      <c r="U261" s="297"/>
      <c r="V261" s="297"/>
      <c r="W261" s="153"/>
    </row>
    <row r="262" spans="1:23" s="12" customFormat="1" x14ac:dyDescent="0.2">
      <c r="A262" s="13"/>
      <c r="B262" s="13"/>
      <c r="C262" s="30"/>
      <c r="D262" s="13"/>
      <c r="E262" s="13"/>
      <c r="F262" s="13"/>
      <c r="I262" s="297"/>
      <c r="K262" s="297"/>
      <c r="L262" s="297"/>
      <c r="M262" s="297"/>
      <c r="P262" s="297"/>
      <c r="Q262" s="297"/>
      <c r="R262" s="297"/>
      <c r="U262" s="297"/>
      <c r="V262" s="297"/>
      <c r="W262" s="153"/>
    </row>
    <row r="263" spans="1:23" s="12" customFormat="1" x14ac:dyDescent="0.2">
      <c r="A263" s="13"/>
      <c r="B263" s="13"/>
      <c r="C263" s="30"/>
      <c r="D263" s="13"/>
      <c r="E263" s="13"/>
      <c r="F263" s="13"/>
      <c r="I263" s="297"/>
      <c r="K263" s="297"/>
      <c r="L263" s="297"/>
      <c r="M263" s="297"/>
      <c r="P263" s="297"/>
      <c r="Q263" s="297"/>
      <c r="R263" s="297"/>
      <c r="U263" s="297"/>
      <c r="V263" s="297"/>
      <c r="W263" s="153"/>
    </row>
    <row r="264" spans="1:23" s="12" customFormat="1" x14ac:dyDescent="0.2">
      <c r="A264" s="13"/>
      <c r="B264" s="13"/>
      <c r="C264" s="30"/>
      <c r="D264" s="13"/>
      <c r="E264" s="13"/>
      <c r="F264" s="13"/>
      <c r="I264" s="297"/>
      <c r="K264" s="297"/>
      <c r="L264" s="297"/>
      <c r="M264" s="297"/>
      <c r="P264" s="297"/>
      <c r="Q264" s="297"/>
      <c r="R264" s="297"/>
      <c r="U264" s="297"/>
      <c r="V264" s="297"/>
      <c r="W264" s="153"/>
    </row>
    <row r="265" spans="1:23" s="12" customFormat="1" x14ac:dyDescent="0.2">
      <c r="A265" s="13"/>
      <c r="B265" s="13"/>
      <c r="C265" s="30"/>
      <c r="D265" s="13"/>
      <c r="E265" s="13"/>
      <c r="F265" s="13"/>
      <c r="I265" s="297"/>
      <c r="K265" s="297"/>
      <c r="L265" s="297"/>
      <c r="M265" s="297"/>
      <c r="P265" s="297"/>
      <c r="Q265" s="297"/>
      <c r="R265" s="297"/>
      <c r="U265" s="297"/>
      <c r="V265" s="297"/>
      <c r="W265" s="153"/>
    </row>
    <row r="266" spans="1:23" s="12" customFormat="1" x14ac:dyDescent="0.2">
      <c r="A266" s="13"/>
      <c r="B266" s="13"/>
      <c r="C266" s="30"/>
      <c r="D266" s="13"/>
      <c r="E266" s="13"/>
      <c r="F266" s="13"/>
      <c r="I266" s="297"/>
      <c r="K266" s="297"/>
      <c r="L266" s="297"/>
      <c r="M266" s="297"/>
      <c r="P266" s="297"/>
      <c r="Q266" s="297"/>
      <c r="R266" s="297"/>
      <c r="U266" s="297"/>
      <c r="V266" s="297"/>
      <c r="W266" s="153"/>
    </row>
    <row r="267" spans="1:23" s="12" customFormat="1" x14ac:dyDescent="0.2">
      <c r="A267" s="13"/>
      <c r="B267" s="13"/>
      <c r="C267" s="30"/>
      <c r="D267" s="13"/>
      <c r="E267" s="13"/>
      <c r="F267" s="13"/>
      <c r="I267" s="297"/>
      <c r="K267" s="297"/>
      <c r="L267" s="297"/>
      <c r="M267" s="297"/>
      <c r="P267" s="297"/>
      <c r="Q267" s="297"/>
      <c r="R267" s="297"/>
      <c r="U267" s="297"/>
      <c r="V267" s="297"/>
      <c r="W267" s="153"/>
    </row>
    <row r="268" spans="1:23" s="12" customFormat="1" x14ac:dyDescent="0.2">
      <c r="A268" s="13"/>
      <c r="B268" s="13"/>
      <c r="C268" s="30"/>
      <c r="D268" s="13"/>
      <c r="E268" s="13"/>
      <c r="F268" s="13"/>
      <c r="I268" s="297"/>
      <c r="K268" s="297"/>
      <c r="L268" s="297"/>
      <c r="M268" s="297"/>
      <c r="P268" s="297"/>
      <c r="Q268" s="297"/>
      <c r="R268" s="297"/>
      <c r="U268" s="297"/>
      <c r="V268" s="297"/>
      <c r="W268" s="153"/>
    </row>
    <row r="269" spans="1:23" s="12" customFormat="1" x14ac:dyDescent="0.2">
      <c r="A269" s="13"/>
      <c r="B269" s="13"/>
      <c r="C269" s="30"/>
      <c r="D269" s="13"/>
      <c r="E269" s="13"/>
      <c r="F269" s="13"/>
      <c r="I269" s="297"/>
      <c r="K269" s="297"/>
      <c r="L269" s="297"/>
      <c r="M269" s="297"/>
      <c r="P269" s="297"/>
      <c r="Q269" s="297"/>
      <c r="R269" s="297"/>
      <c r="U269" s="297"/>
      <c r="V269" s="297"/>
      <c r="W269" s="153"/>
    </row>
    <row r="270" spans="1:23" s="12" customFormat="1" x14ac:dyDescent="0.2">
      <c r="A270" s="13"/>
      <c r="B270" s="13"/>
      <c r="C270" s="30"/>
      <c r="D270" s="13"/>
      <c r="E270" s="13"/>
      <c r="F270" s="13"/>
      <c r="I270" s="297"/>
      <c r="K270" s="297"/>
      <c r="L270" s="297"/>
      <c r="M270" s="297"/>
      <c r="P270" s="297"/>
      <c r="Q270" s="297"/>
      <c r="R270" s="297"/>
      <c r="U270" s="297"/>
      <c r="V270" s="297"/>
      <c r="W270" s="153"/>
    </row>
    <row r="271" spans="1:23" s="12" customFormat="1" x14ac:dyDescent="0.2">
      <c r="A271" s="13"/>
      <c r="B271" s="13"/>
      <c r="C271" s="30"/>
      <c r="D271" s="13"/>
      <c r="E271" s="13"/>
      <c r="F271" s="13"/>
      <c r="I271" s="297"/>
      <c r="K271" s="297"/>
      <c r="L271" s="297"/>
      <c r="M271" s="297"/>
      <c r="P271" s="297"/>
      <c r="Q271" s="297"/>
      <c r="R271" s="297"/>
      <c r="U271" s="297"/>
      <c r="V271" s="297"/>
      <c r="W271" s="153"/>
    </row>
    <row r="272" spans="1:23" s="12" customFormat="1" x14ac:dyDescent="0.2">
      <c r="A272" s="13"/>
      <c r="B272" s="13"/>
      <c r="C272" s="30"/>
      <c r="D272" s="13"/>
      <c r="E272" s="13"/>
      <c r="F272" s="13"/>
      <c r="I272" s="297"/>
      <c r="K272" s="297"/>
      <c r="L272" s="297"/>
      <c r="M272" s="297"/>
      <c r="P272" s="297"/>
      <c r="Q272" s="297"/>
      <c r="R272" s="297"/>
      <c r="U272" s="297"/>
      <c r="V272" s="297"/>
      <c r="W272" s="153"/>
    </row>
    <row r="273" spans="1:23" s="12" customFormat="1" x14ac:dyDescent="0.2">
      <c r="A273" s="13"/>
      <c r="B273" s="13"/>
      <c r="C273" s="30"/>
      <c r="D273" s="13"/>
      <c r="E273" s="13"/>
      <c r="F273" s="13"/>
      <c r="I273" s="297"/>
      <c r="K273" s="297"/>
      <c r="L273" s="297"/>
      <c r="M273" s="297"/>
      <c r="P273" s="297"/>
      <c r="Q273" s="297"/>
      <c r="R273" s="297"/>
      <c r="U273" s="297"/>
      <c r="V273" s="297"/>
      <c r="W273" s="153"/>
    </row>
    <row r="274" spans="1:23" s="12" customFormat="1" x14ac:dyDescent="0.2">
      <c r="A274" s="13"/>
      <c r="B274" s="13"/>
      <c r="C274" s="30"/>
      <c r="D274" s="13"/>
      <c r="E274" s="13"/>
      <c r="F274" s="13"/>
      <c r="I274" s="297"/>
      <c r="K274" s="297"/>
      <c r="L274" s="297"/>
      <c r="M274" s="297"/>
      <c r="P274" s="297"/>
      <c r="Q274" s="297"/>
      <c r="R274" s="297"/>
      <c r="U274" s="297"/>
      <c r="V274" s="297"/>
      <c r="W274" s="153"/>
    </row>
    <row r="275" spans="1:23" s="12" customFormat="1" x14ac:dyDescent="0.2">
      <c r="A275" s="13"/>
      <c r="B275" s="13"/>
      <c r="C275" s="30"/>
      <c r="D275" s="13"/>
      <c r="E275" s="13"/>
      <c r="F275" s="13"/>
      <c r="I275" s="297"/>
      <c r="K275" s="297"/>
      <c r="L275" s="297"/>
      <c r="M275" s="297"/>
      <c r="P275" s="297"/>
      <c r="Q275" s="297"/>
      <c r="R275" s="297"/>
      <c r="U275" s="297"/>
      <c r="V275" s="297"/>
      <c r="W275" s="153"/>
    </row>
    <row r="276" spans="1:23" s="12" customFormat="1" x14ac:dyDescent="0.2">
      <c r="A276" s="13"/>
      <c r="B276" s="13"/>
      <c r="C276" s="30"/>
      <c r="D276" s="13"/>
      <c r="E276" s="13"/>
      <c r="F276" s="13"/>
      <c r="I276" s="297"/>
      <c r="K276" s="297"/>
      <c r="L276" s="297"/>
      <c r="M276" s="297"/>
      <c r="P276" s="297"/>
      <c r="Q276" s="297"/>
      <c r="R276" s="297"/>
      <c r="U276" s="297"/>
      <c r="V276" s="297"/>
      <c r="W276" s="153"/>
    </row>
    <row r="277" spans="1:23" s="12" customFormat="1" x14ac:dyDescent="0.2">
      <c r="A277" s="13"/>
      <c r="B277" s="13"/>
      <c r="C277" s="30"/>
      <c r="D277" s="13"/>
      <c r="E277" s="13"/>
      <c r="F277" s="13"/>
      <c r="I277" s="297"/>
      <c r="K277" s="297"/>
      <c r="L277" s="297"/>
      <c r="M277" s="297"/>
      <c r="P277" s="297"/>
      <c r="Q277" s="297"/>
      <c r="R277" s="297"/>
      <c r="U277" s="297"/>
      <c r="V277" s="297"/>
      <c r="W277" s="153"/>
    </row>
    <row r="278" spans="1:23" s="12" customFormat="1" x14ac:dyDescent="0.2">
      <c r="A278" s="13"/>
      <c r="B278" s="13"/>
      <c r="C278" s="30"/>
      <c r="D278" s="13"/>
      <c r="E278" s="13"/>
      <c r="F278" s="13"/>
      <c r="I278" s="297"/>
      <c r="K278" s="297"/>
      <c r="L278" s="297"/>
      <c r="M278" s="297"/>
      <c r="P278" s="297"/>
      <c r="Q278" s="297"/>
      <c r="R278" s="297"/>
      <c r="U278" s="297"/>
      <c r="V278" s="297"/>
      <c r="W278" s="153"/>
    </row>
    <row r="279" spans="1:23" s="12" customFormat="1" x14ac:dyDescent="0.2">
      <c r="A279" s="13"/>
      <c r="B279" s="13"/>
      <c r="C279" s="30"/>
      <c r="D279" s="13"/>
      <c r="E279" s="13"/>
      <c r="F279" s="13"/>
      <c r="I279" s="297"/>
      <c r="K279" s="297"/>
      <c r="L279" s="297"/>
      <c r="M279" s="297"/>
      <c r="P279" s="297"/>
      <c r="Q279" s="297"/>
      <c r="R279" s="297"/>
      <c r="U279" s="297"/>
      <c r="V279" s="297"/>
      <c r="W279" s="153"/>
    </row>
    <row r="280" spans="1:23" s="12" customFormat="1" x14ac:dyDescent="0.2">
      <c r="A280" s="13"/>
      <c r="B280" s="13"/>
      <c r="C280" s="30"/>
      <c r="D280" s="13"/>
      <c r="E280" s="13"/>
      <c r="F280" s="13"/>
      <c r="I280" s="297"/>
      <c r="K280" s="297"/>
      <c r="L280" s="297"/>
      <c r="M280" s="297"/>
      <c r="P280" s="297"/>
      <c r="Q280" s="297"/>
      <c r="R280" s="297"/>
      <c r="U280" s="297"/>
      <c r="V280" s="297"/>
      <c r="W280" s="153"/>
    </row>
    <row r="281" spans="1:23" s="12" customFormat="1" x14ac:dyDescent="0.2">
      <c r="A281" s="13"/>
      <c r="B281" s="13"/>
      <c r="C281" s="30"/>
      <c r="D281" s="13"/>
      <c r="E281" s="13"/>
      <c r="F281" s="13"/>
      <c r="I281" s="297"/>
      <c r="K281" s="297"/>
      <c r="L281" s="297"/>
      <c r="M281" s="297"/>
      <c r="P281" s="297"/>
      <c r="Q281" s="297"/>
      <c r="R281" s="297"/>
      <c r="U281" s="297"/>
      <c r="V281" s="297"/>
      <c r="W281" s="153"/>
    </row>
    <row r="282" spans="1:23" s="12" customFormat="1" x14ac:dyDescent="0.2">
      <c r="A282" s="13"/>
      <c r="B282" s="13"/>
      <c r="C282" s="30"/>
      <c r="D282" s="13"/>
      <c r="E282" s="13"/>
      <c r="F282" s="13"/>
      <c r="I282" s="297"/>
      <c r="K282" s="297"/>
      <c r="L282" s="297"/>
      <c r="M282" s="297"/>
      <c r="P282" s="297"/>
      <c r="Q282" s="297"/>
      <c r="R282" s="297"/>
      <c r="U282" s="297"/>
      <c r="V282" s="297"/>
      <c r="W282" s="153"/>
    </row>
    <row r="283" spans="1:23" s="12" customFormat="1" x14ac:dyDescent="0.2">
      <c r="A283" s="13"/>
      <c r="B283" s="13"/>
      <c r="C283" s="30"/>
      <c r="D283" s="13"/>
      <c r="E283" s="13"/>
      <c r="F283" s="13"/>
      <c r="I283" s="297"/>
      <c r="K283" s="297"/>
      <c r="L283" s="297"/>
      <c r="M283" s="297"/>
      <c r="P283" s="297"/>
      <c r="Q283" s="297"/>
      <c r="R283" s="297"/>
      <c r="U283" s="297"/>
      <c r="V283" s="297"/>
      <c r="W283" s="153"/>
    </row>
    <row r="284" spans="1:23" s="12" customFormat="1" x14ac:dyDescent="0.2">
      <c r="A284" s="13"/>
      <c r="B284" s="13"/>
      <c r="C284" s="30"/>
      <c r="D284" s="13"/>
      <c r="E284" s="13"/>
      <c r="F284" s="13"/>
      <c r="I284" s="297"/>
      <c r="K284" s="297"/>
      <c r="L284" s="297"/>
      <c r="M284" s="297"/>
      <c r="P284" s="297"/>
      <c r="Q284" s="297"/>
      <c r="R284" s="297"/>
      <c r="U284" s="297"/>
      <c r="V284" s="297"/>
      <c r="W284" s="153"/>
    </row>
    <row r="285" spans="1:23" s="12" customFormat="1" x14ac:dyDescent="0.2">
      <c r="A285" s="13"/>
      <c r="B285" s="13"/>
      <c r="C285" s="30"/>
      <c r="D285" s="13"/>
      <c r="E285" s="13"/>
      <c r="F285" s="13"/>
      <c r="I285" s="297"/>
      <c r="K285" s="297"/>
      <c r="L285" s="297"/>
      <c r="M285" s="297"/>
      <c r="P285" s="297"/>
      <c r="Q285" s="297"/>
      <c r="R285" s="297"/>
      <c r="U285" s="297"/>
      <c r="V285" s="297"/>
      <c r="W285" s="153"/>
    </row>
  </sheetData>
  <mergeCells count="15">
    <mergeCell ref="W192:W195"/>
    <mergeCell ref="W188:W191"/>
    <mergeCell ref="W184:W187"/>
    <mergeCell ref="G3:G4"/>
    <mergeCell ref="H3:H4"/>
    <mergeCell ref="R3:V3"/>
    <mergeCell ref="R4:U4"/>
    <mergeCell ref="V4:V5"/>
    <mergeCell ref="Q4:Q5"/>
    <mergeCell ref="I3:K3"/>
    <mergeCell ref="M3:Q3"/>
    <mergeCell ref="L3:L5"/>
    <mergeCell ref="I4:I5"/>
    <mergeCell ref="K4:K5"/>
    <mergeCell ref="M4:P4"/>
  </mergeCells>
  <phoneticPr fontId="2" type="noConversion"/>
  <printOptions horizontalCentered="1"/>
  <pageMargins left="0.19685039370078741" right="0.19685039370078741" top="0.39370078740157483" bottom="0.19685039370078741" header="0.51181102362204722" footer="0.51181102362204722"/>
  <pageSetup paperSize="9" scale="65" orientation="landscape" r:id="rId1"/>
  <headerFooter alignWithMargins="0"/>
  <ignoredErrors>
    <ignoredError sqref="P60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2</vt:i4>
      </vt:variant>
    </vt:vector>
  </HeadingPairs>
  <TitlesOfParts>
    <vt:vector size="3" baseType="lpstr">
      <vt:lpstr>zał 6.1.2</vt:lpstr>
      <vt:lpstr>'zał 6.1.2'!Obszar_wydruku</vt:lpstr>
      <vt:lpstr>'zał 6.1.2'!Tytuły_wydruku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tylekto</dc:creator>
  <cp:lastModifiedBy>Żulik Zbigniew</cp:lastModifiedBy>
  <cp:lastPrinted>2024-03-28T10:15:45Z</cp:lastPrinted>
  <dcterms:created xsi:type="dcterms:W3CDTF">2005-02-01T10:29:59Z</dcterms:created>
  <dcterms:modified xsi:type="dcterms:W3CDTF">2024-03-28T10:15:48Z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-1248353709</vt:i4>
  </property>
  <property fmtid="{D5CDD505-2E9C-101B-9397-08002B2CF9AE}" pid="3" name="_EmailSubject">
    <vt:lpwstr>Załączniki do uw 2007</vt:lpwstr>
  </property>
  <property fmtid="{D5CDD505-2E9C-101B-9397-08002B2CF9AE}" pid="4" name="_AuthorEmail">
    <vt:lpwstr>salajama@ws_nt7.umk</vt:lpwstr>
  </property>
  <property fmtid="{D5CDD505-2E9C-101B-9397-08002B2CF9AE}" pid="5" name="_AuthorEmailDisplayName">
    <vt:lpwstr>Sałaja Magdalena</vt:lpwstr>
  </property>
  <property fmtid="{D5CDD505-2E9C-101B-9397-08002B2CF9AE}" pid="6" name="_PreviousAdHocReviewCycleID">
    <vt:i4>1836655754</vt:i4>
  </property>
  <property fmtid="{D5CDD505-2E9C-101B-9397-08002B2CF9AE}" pid="7" name="_ReviewingToolsShownOnce">
    <vt:lpwstr/>
  </property>
</Properties>
</file>