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gmk.local\dane\BM\BM-06\BIP\ROK 2023-BIP\Sprawozdanie\"/>
    </mc:Choice>
  </mc:AlternateContent>
  <xr:revisionPtr revIDLastSave="0" documentId="13_ncr:1_{187185EF-C065-455A-93FA-F34BACF0C096}" xr6:coauthVersionLast="36" xr6:coauthVersionMax="36" xr10:uidLastSave="{00000000-0000-0000-0000-000000000000}"/>
  <bookViews>
    <workbookView xWindow="0" yWindow="1380" windowWidth="12120" windowHeight="7860" tabRatio="599" xr2:uid="{00000000-000D-0000-FFFF-FFFF00000000}"/>
  </bookViews>
  <sheets>
    <sheet name="zał 6.2" sheetId="10" r:id="rId1"/>
  </sheets>
  <definedNames>
    <definedName name="_xlnm.Print_Area" localSheetId="0">'zał 6.2'!$A$1:$R$408</definedName>
    <definedName name="_xlnm.Print_Titles" localSheetId="0">'zał 6.2'!$3:$6</definedName>
  </definedNames>
  <calcPr calcId="191029"/>
</workbook>
</file>

<file path=xl/calcChain.xml><?xml version="1.0" encoding="utf-8"?>
<calcChain xmlns="http://schemas.openxmlformats.org/spreadsheetml/2006/main">
  <c r="H426" i="10" l="1"/>
  <c r="G426" i="10"/>
  <c r="H425" i="10" l="1"/>
  <c r="G425" i="10"/>
  <c r="R337" i="10" l="1"/>
  <c r="H79" i="10" l="1"/>
  <c r="M130" i="10" l="1"/>
  <c r="M127" i="10"/>
  <c r="L130" i="10"/>
  <c r="G59" i="10" l="1"/>
  <c r="G57" i="10" s="1"/>
  <c r="G430" i="10" l="1"/>
  <c r="F429" i="10"/>
  <c r="F430" i="10"/>
  <c r="F424" i="10"/>
  <c r="P185" i="10"/>
  <c r="G424" i="10" l="1"/>
  <c r="E408" i="10" l="1"/>
  <c r="E241" i="10"/>
  <c r="E224" i="10"/>
  <c r="R391" i="10" l="1"/>
  <c r="R389" i="10" s="1"/>
  <c r="R399" i="10"/>
  <c r="R377" i="10"/>
  <c r="R361" i="10"/>
  <c r="R359" i="10" s="1"/>
  <c r="R362" i="10"/>
  <c r="R363" i="10"/>
  <c r="R352" i="10"/>
  <c r="R349" i="10"/>
  <c r="R340" i="10"/>
  <c r="R338" i="10" s="1"/>
  <c r="R341" i="10"/>
  <c r="R342" i="10"/>
  <c r="R335" i="10"/>
  <c r="R332" i="10"/>
  <c r="R315" i="10"/>
  <c r="R316" i="10"/>
  <c r="R318" i="10"/>
  <c r="R321" i="10"/>
  <c r="H321" i="10" s="1"/>
  <c r="H319" i="10" s="1"/>
  <c r="R322" i="10"/>
  <c r="R324" i="10"/>
  <c r="R327" i="10"/>
  <c r="R325" i="10" s="1"/>
  <c r="R328" i="10"/>
  <c r="R309" i="10"/>
  <c r="R273" i="10"/>
  <c r="R274" i="10"/>
  <c r="R262" i="10"/>
  <c r="R247" i="10"/>
  <c r="R245" i="10" s="1"/>
  <c r="R248" i="10"/>
  <c r="R249" i="10"/>
  <c r="R251" i="10"/>
  <c r="R252" i="10"/>
  <c r="R254" i="10"/>
  <c r="R255" i="10"/>
  <c r="R257" i="10"/>
  <c r="R258" i="10"/>
  <c r="R241" i="10"/>
  <c r="R232" i="10"/>
  <c r="R224" i="10"/>
  <c r="R218" i="10"/>
  <c r="R210" i="10"/>
  <c r="R188" i="10"/>
  <c r="R186" i="10" s="1"/>
  <c r="R189" i="10"/>
  <c r="R190" i="10"/>
  <c r="R193" i="10"/>
  <c r="R206" i="10"/>
  <c r="R183" i="10"/>
  <c r="R180" i="10"/>
  <c r="R168" i="10"/>
  <c r="R151" i="10"/>
  <c r="R149" i="10" s="1"/>
  <c r="R152" i="10"/>
  <c r="R153" i="10"/>
  <c r="R155" i="10"/>
  <c r="R156" i="10"/>
  <c r="R158" i="10"/>
  <c r="R159" i="10"/>
  <c r="R145" i="10"/>
  <c r="R141" i="10"/>
  <c r="R65" i="10"/>
  <c r="R59" i="10"/>
  <c r="R60" i="10"/>
  <c r="R53" i="10"/>
  <c r="R51" i="10" s="1"/>
  <c r="R54" i="10"/>
  <c r="R44" i="10"/>
  <c r="R39" i="10"/>
  <c r="R37" i="10" s="1"/>
  <c r="R40" i="10"/>
  <c r="R41" i="10"/>
  <c r="R33" i="10"/>
  <c r="R24" i="10"/>
  <c r="R22" i="10" s="1"/>
  <c r="R30" i="10"/>
  <c r="M306" i="10"/>
  <c r="M303" i="10"/>
  <c r="M292" i="10"/>
  <c r="M273" i="10"/>
  <c r="M271" i="10" s="1"/>
  <c r="M274" i="10"/>
  <c r="M279" i="10"/>
  <c r="M282" i="10"/>
  <c r="M284" i="10"/>
  <c r="M247" i="10"/>
  <c r="M248" i="10"/>
  <c r="M249" i="10"/>
  <c r="M252" i="10"/>
  <c r="M255" i="10"/>
  <c r="M258" i="10"/>
  <c r="M137" i="10"/>
  <c r="H137" i="10" s="1"/>
  <c r="M134" i="10"/>
  <c r="M124" i="10"/>
  <c r="M108" i="10"/>
  <c r="M104" i="10"/>
  <c r="M101" i="10"/>
  <c r="M98" i="10"/>
  <c r="M95" i="10"/>
  <c r="M77" i="10"/>
  <c r="M74" i="10"/>
  <c r="M71" i="10"/>
  <c r="M68" i="10"/>
  <c r="M65" i="10"/>
  <c r="M59" i="10"/>
  <c r="M57" i="10" s="1"/>
  <c r="M60" i="10"/>
  <c r="M61" i="10"/>
  <c r="H401" i="10"/>
  <c r="H391" i="10" s="1"/>
  <c r="H389" i="10" s="1"/>
  <c r="H379" i="10"/>
  <c r="H365" i="10"/>
  <c r="H354" i="10"/>
  <c r="H351" i="10"/>
  <c r="H349" i="10" s="1"/>
  <c r="H344" i="10"/>
  <c r="H337" i="10"/>
  <c r="H334" i="10"/>
  <c r="H331" i="10"/>
  <c r="H311" i="10"/>
  <c r="H309" i="10" s="1"/>
  <c r="H308" i="10"/>
  <c r="H305" i="10"/>
  <c r="H295" i="10"/>
  <c r="H292" i="10" s="1"/>
  <c r="H287" i="10"/>
  <c r="H284" i="10" s="1"/>
  <c r="H286" i="10"/>
  <c r="H264" i="10"/>
  <c r="H261" i="10"/>
  <c r="H248" i="10" s="1"/>
  <c r="H260" i="10"/>
  <c r="H243" i="10"/>
  <c r="H244" i="10"/>
  <c r="H234" i="10"/>
  <c r="H227" i="10"/>
  <c r="H224" i="10" s="1"/>
  <c r="H226" i="10"/>
  <c r="H220" i="10"/>
  <c r="H212" i="10"/>
  <c r="H210" i="10" s="1"/>
  <c r="H209" i="10"/>
  <c r="H206" i="10" s="1"/>
  <c r="H208" i="10"/>
  <c r="H185" i="10"/>
  <c r="H182" i="10"/>
  <c r="H170" i="10"/>
  <c r="H168" i="10" s="1"/>
  <c r="H161" i="10"/>
  <c r="H148" i="10"/>
  <c r="H147" i="10"/>
  <c r="H145" i="10" s="1"/>
  <c r="H144" i="10"/>
  <c r="H143" i="10"/>
  <c r="H140" i="10"/>
  <c r="H136" i="10"/>
  <c r="H132" i="10"/>
  <c r="H129" i="10"/>
  <c r="H126" i="10"/>
  <c r="H110" i="10"/>
  <c r="H107" i="10"/>
  <c r="H103" i="10"/>
  <c r="H101" i="10" s="1"/>
  <c r="H100" i="10"/>
  <c r="H97" i="10"/>
  <c r="H76" i="10"/>
  <c r="H73" i="10"/>
  <c r="H70" i="10"/>
  <c r="H68" i="10" s="1"/>
  <c r="H67" i="10"/>
  <c r="H65" i="10" s="1"/>
  <c r="H63" i="10"/>
  <c r="H61" i="10" s="1"/>
  <c r="H56" i="10"/>
  <c r="H54" i="10" s="1"/>
  <c r="H46" i="10"/>
  <c r="H43" i="10"/>
  <c r="H41" i="10" s="1"/>
  <c r="H35" i="10"/>
  <c r="H32" i="10"/>
  <c r="H377" i="10"/>
  <c r="H361" i="10"/>
  <c r="H362" i="10"/>
  <c r="H363" i="10"/>
  <c r="H352" i="10"/>
  <c r="H341" i="10"/>
  <c r="H342" i="10"/>
  <c r="H335" i="10"/>
  <c r="H332" i="10"/>
  <c r="H315" i="10"/>
  <c r="H318" i="10"/>
  <c r="H324" i="10"/>
  <c r="H322" i="10" s="1"/>
  <c r="H327" i="10"/>
  <c r="H325" i="10" s="1"/>
  <c r="H328" i="10"/>
  <c r="H306" i="10"/>
  <c r="H303" i="10"/>
  <c r="H273" i="10"/>
  <c r="H282" i="10"/>
  <c r="H279" i="10" s="1"/>
  <c r="H262" i="10"/>
  <c r="H251" i="10"/>
  <c r="H249" i="10" s="1"/>
  <c r="H254" i="10"/>
  <c r="H252" i="10" s="1"/>
  <c r="H257" i="10"/>
  <c r="H255" i="10" s="1"/>
  <c r="H232" i="10"/>
  <c r="H218" i="10"/>
  <c r="H188" i="10"/>
  <c r="H193" i="10"/>
  <c r="H189" i="10" s="1"/>
  <c r="H183" i="10"/>
  <c r="H180" i="10"/>
  <c r="H152" i="10"/>
  <c r="H155" i="10"/>
  <c r="H158" i="10"/>
  <c r="H156" i="10" s="1"/>
  <c r="H159" i="10"/>
  <c r="H134" i="10"/>
  <c r="H130" i="10"/>
  <c r="H127" i="10"/>
  <c r="H124" i="10"/>
  <c r="H108" i="10"/>
  <c r="H104" i="10"/>
  <c r="H98" i="10"/>
  <c r="H95" i="10"/>
  <c r="H77" i="10"/>
  <c r="H74" i="10"/>
  <c r="H71" i="10"/>
  <c r="H53" i="10"/>
  <c r="H44" i="10"/>
  <c r="H39" i="10"/>
  <c r="H37" i="10" s="1"/>
  <c r="H40" i="10"/>
  <c r="H33" i="10"/>
  <c r="H24" i="10"/>
  <c r="H30" i="10"/>
  <c r="M408" i="10"/>
  <c r="H241" i="10" l="1"/>
  <c r="R408" i="10"/>
  <c r="H151" i="10"/>
  <c r="R271" i="10"/>
  <c r="H141" i="10"/>
  <c r="H60" i="10"/>
  <c r="R57" i="10"/>
  <c r="H59" i="10"/>
  <c r="H57" i="10" s="1"/>
  <c r="M407" i="10"/>
  <c r="M405" i="10" s="1"/>
  <c r="H359" i="10"/>
  <c r="H51" i="10"/>
  <c r="H22" i="10"/>
  <c r="H314" i="10"/>
  <c r="H316" i="10"/>
  <c r="R319" i="10"/>
  <c r="R314" i="10"/>
  <c r="R312" i="10" s="1"/>
  <c r="H190" i="10"/>
  <c r="H153" i="10"/>
  <c r="H274" i="10"/>
  <c r="M245" i="10"/>
  <c r="H247" i="10"/>
  <c r="H245" i="10" s="1"/>
  <c r="H399" i="10"/>
  <c r="H340" i="10"/>
  <c r="H338" i="10" s="1"/>
  <c r="H258" i="10"/>
  <c r="H312" i="10"/>
  <c r="H186" i="10"/>
  <c r="H149" i="10"/>
  <c r="H271" i="10" l="1"/>
  <c r="H408" i="10"/>
  <c r="H430" i="10" s="1"/>
  <c r="H424" i="10"/>
  <c r="H407" i="10"/>
  <c r="R407" i="10"/>
  <c r="R405" i="10" s="1"/>
  <c r="P331" i="10"/>
  <c r="O354" i="10"/>
  <c r="O344" i="10"/>
  <c r="J140" i="10"/>
  <c r="J76" i="10"/>
  <c r="J308" i="10"/>
  <c r="J305" i="10"/>
  <c r="J295" i="10"/>
  <c r="J287" i="10"/>
  <c r="J286" i="10"/>
  <c r="J132" i="10"/>
  <c r="J129" i="10"/>
  <c r="K126" i="10"/>
  <c r="J110" i="10"/>
  <c r="J107" i="10"/>
  <c r="J103" i="10"/>
  <c r="K100" i="10"/>
  <c r="J97" i="10"/>
  <c r="J79" i="10"/>
  <c r="J73" i="10"/>
  <c r="J70" i="10"/>
  <c r="J67" i="10"/>
  <c r="K63" i="10"/>
  <c r="K73" i="10"/>
  <c r="O334" i="10"/>
  <c r="O234" i="10"/>
  <c r="O243" i="10"/>
  <c r="O170" i="10"/>
  <c r="P334" i="10"/>
  <c r="P209" i="10"/>
  <c r="K308" i="10"/>
  <c r="O331" i="10"/>
  <c r="O212" i="10"/>
  <c r="O260" i="10"/>
  <c r="K305" i="10"/>
  <c r="K295" i="10"/>
  <c r="K287" i="10"/>
  <c r="K286" i="10"/>
  <c r="K140" i="10"/>
  <c r="K132" i="10"/>
  <c r="K129" i="10"/>
  <c r="K110" i="10"/>
  <c r="K107" i="10"/>
  <c r="K103" i="10"/>
  <c r="K97" i="10"/>
  <c r="K79" i="10"/>
  <c r="K76" i="10"/>
  <c r="K70" i="10"/>
  <c r="K67" i="10"/>
  <c r="H429" i="10" l="1"/>
  <c r="H428" i="10" s="1"/>
  <c r="H405" i="10"/>
  <c r="O208" i="10" l="1"/>
  <c r="P243" i="10" l="1"/>
  <c r="P226" i="10"/>
  <c r="O351" i="10"/>
  <c r="O337" i="10"/>
  <c r="O185" i="10"/>
  <c r="O401" i="10"/>
  <c r="P170" i="10"/>
  <c r="O147" i="10" l="1"/>
  <c r="O148" i="10"/>
  <c r="O311" i="10"/>
  <c r="J126" i="10"/>
  <c r="J63" i="10"/>
  <c r="O264" i="10"/>
  <c r="P212" i="10"/>
  <c r="O143" i="10"/>
  <c r="O379" i="10"/>
  <c r="P46" i="10"/>
  <c r="P260" i="10"/>
  <c r="P43" i="10"/>
  <c r="P311" i="10"/>
  <c r="P148" i="10"/>
  <c r="P147" i="10"/>
  <c r="P220" i="10" l="1"/>
  <c r="Q147" i="10"/>
  <c r="O144" i="10"/>
  <c r="P264" i="10"/>
  <c r="P144" i="10" l="1"/>
  <c r="P143" i="10"/>
  <c r="P337" i="10" l="1"/>
  <c r="P401" i="10" l="1"/>
  <c r="P234" i="10" l="1"/>
  <c r="P189" i="10" l="1"/>
  <c r="O189" i="10"/>
  <c r="N189" i="10"/>
  <c r="L189" i="10"/>
  <c r="K189" i="10"/>
  <c r="J189" i="10"/>
  <c r="I189" i="10"/>
  <c r="F189" i="10"/>
  <c r="E244" i="10"/>
  <c r="N188" i="10"/>
  <c r="P59" i="10" l="1"/>
  <c r="O59" i="10"/>
  <c r="N59" i="10"/>
  <c r="K59" i="10"/>
  <c r="J59" i="10"/>
  <c r="I59" i="10"/>
  <c r="F411" i="10"/>
  <c r="L144" i="10"/>
  <c r="L143" i="10"/>
  <c r="L141" i="10" s="1"/>
  <c r="I141" i="10"/>
  <c r="E143" i="10"/>
  <c r="E141" i="10" s="1"/>
  <c r="Q401" i="10" l="1"/>
  <c r="Q391" i="10" s="1"/>
  <c r="P362" i="10" l="1"/>
  <c r="O362" i="10"/>
  <c r="O361" i="10"/>
  <c r="N361" i="10"/>
  <c r="N362" i="10"/>
  <c r="N359" i="10" l="1"/>
  <c r="O359" i="10"/>
  <c r="P361" i="10" l="1"/>
  <c r="P359" i="10" s="1"/>
  <c r="Q244" i="10" l="1"/>
  <c r="G244" i="10" s="1"/>
  <c r="P241" i="10"/>
  <c r="O241" i="10"/>
  <c r="N241" i="10"/>
  <c r="O188" i="10"/>
  <c r="P188" i="10" l="1"/>
  <c r="E240" i="10"/>
  <c r="E238" i="10" s="1"/>
  <c r="P238" i="10"/>
  <c r="O238" i="10"/>
  <c r="N238" i="10"/>
  <c r="Q240" i="10"/>
  <c r="G240" i="10" s="1"/>
  <c r="G238" i="10" s="1"/>
  <c r="Q238" i="10" l="1"/>
  <c r="P314" i="10" l="1"/>
  <c r="O314" i="10"/>
  <c r="N314" i="10"/>
  <c r="K314" i="10"/>
  <c r="J314" i="10"/>
  <c r="I314" i="10"/>
  <c r="Q334" i="10"/>
  <c r="G334" i="10" s="1"/>
  <c r="G332" i="10" s="1"/>
  <c r="P332" i="10"/>
  <c r="O332" i="10"/>
  <c r="N332" i="10"/>
  <c r="E334" i="10"/>
  <c r="E332" i="10" s="1"/>
  <c r="P151" i="10"/>
  <c r="O151" i="10"/>
  <c r="N151" i="10"/>
  <c r="K151" i="10"/>
  <c r="J151" i="10"/>
  <c r="I151" i="10"/>
  <c r="L153" i="10"/>
  <c r="K153" i="10"/>
  <c r="J153" i="10"/>
  <c r="I153" i="10"/>
  <c r="E155" i="10"/>
  <c r="E153" i="10" s="1"/>
  <c r="P152" i="10"/>
  <c r="O152" i="10"/>
  <c r="N152" i="10"/>
  <c r="K152" i="10"/>
  <c r="J152" i="10"/>
  <c r="I152" i="10"/>
  <c r="L46" i="10"/>
  <c r="L56" i="10"/>
  <c r="L50" i="10"/>
  <c r="L47" i="10"/>
  <c r="L43" i="10"/>
  <c r="L35" i="10"/>
  <c r="L32" i="10"/>
  <c r="Q332" i="10" l="1"/>
  <c r="J60" i="10" l="1"/>
  <c r="K60" i="10"/>
  <c r="I60" i="10"/>
  <c r="O60" i="10"/>
  <c r="P60" i="10"/>
  <c r="Q282" i="10" l="1"/>
  <c r="P145" i="10" l="1"/>
  <c r="Q311" i="10"/>
  <c r="G311" i="10" s="1"/>
  <c r="G309" i="10" s="1"/>
  <c r="P274" i="10"/>
  <c r="O274" i="10"/>
  <c r="N274" i="10"/>
  <c r="P309" i="10"/>
  <c r="O309" i="10"/>
  <c r="N309" i="10"/>
  <c r="G147" i="10"/>
  <c r="O145" i="10"/>
  <c r="N145" i="10"/>
  <c r="Q309" i="10" l="1"/>
  <c r="Q148" i="10"/>
  <c r="G148" i="10" s="1"/>
  <c r="G145" i="10" s="1"/>
  <c r="Q145" i="10" l="1"/>
  <c r="P153" i="10"/>
  <c r="O153" i="10"/>
  <c r="N153" i="10"/>
  <c r="Q155" i="10"/>
  <c r="Q153" i="10" s="1"/>
  <c r="Q286" i="10"/>
  <c r="G155" i="10" l="1"/>
  <c r="G153" i="10" s="1"/>
  <c r="N39" i="10"/>
  <c r="Q46" i="10"/>
  <c r="G46" i="10" s="1"/>
  <c r="P44" i="10"/>
  <c r="O44" i="10"/>
  <c r="N44" i="10"/>
  <c r="P68" i="10"/>
  <c r="Q70" i="10"/>
  <c r="K68" i="10"/>
  <c r="Q73" i="10"/>
  <c r="L70" i="10" l="1"/>
  <c r="L68" i="10" s="1"/>
  <c r="Q139" i="10" l="1"/>
  <c r="P137" i="10"/>
  <c r="N137" i="10"/>
  <c r="Q129" i="10"/>
  <c r="Q127" i="10" s="1"/>
  <c r="P127" i="10"/>
  <c r="O127" i="10"/>
  <c r="N127" i="10"/>
  <c r="Q103" i="10"/>
  <c r="Q100" i="10"/>
  <c r="Q97" i="10"/>
  <c r="P39" i="10" l="1"/>
  <c r="O247" i="10" l="1"/>
  <c r="O39" i="10"/>
  <c r="P328" i="10" l="1"/>
  <c r="O328" i="10"/>
  <c r="P40" i="10" l="1"/>
  <c r="O40" i="10"/>
  <c r="N40" i="10"/>
  <c r="L40" i="10"/>
  <c r="K40" i="10"/>
  <c r="J40" i="10"/>
  <c r="I40" i="10"/>
  <c r="E40" i="10"/>
  <c r="L39" i="10"/>
  <c r="K39" i="10"/>
  <c r="J39" i="10"/>
  <c r="I39" i="10"/>
  <c r="Q330" i="10" l="1"/>
  <c r="G330" i="10" l="1"/>
  <c r="O24" i="10" l="1"/>
  <c r="N24" i="10"/>
  <c r="N60" i="10" l="1"/>
  <c r="Q144" i="10"/>
  <c r="Q143" i="10"/>
  <c r="G143" i="10" s="1"/>
  <c r="P141" i="10"/>
  <c r="O141" i="10"/>
  <c r="N141" i="10"/>
  <c r="Q141" i="10" l="1"/>
  <c r="G144" i="10"/>
  <c r="G141" i="10" s="1"/>
  <c r="Q47" i="10" l="1"/>
  <c r="Q44" i="10" s="1"/>
  <c r="G47" i="10" l="1"/>
  <c r="G44" i="10" s="1"/>
  <c r="Q40" i="10"/>
  <c r="E50" i="10"/>
  <c r="E48" i="10" s="1"/>
  <c r="E351" i="10"/>
  <c r="P340" i="10"/>
  <c r="O340" i="10"/>
  <c r="N340" i="10"/>
  <c r="L340" i="10"/>
  <c r="K340" i="10"/>
  <c r="J340" i="10"/>
  <c r="I340" i="10"/>
  <c r="Q351" i="10"/>
  <c r="G351" i="10" s="1"/>
  <c r="G349" i="10" s="1"/>
  <c r="P349" i="10"/>
  <c r="O349" i="10"/>
  <c r="N349" i="10"/>
  <c r="L349" i="10"/>
  <c r="K349" i="10"/>
  <c r="J349" i="10"/>
  <c r="I349" i="10"/>
  <c r="E349" i="10"/>
  <c r="L188" i="10"/>
  <c r="K188" i="10"/>
  <c r="J188" i="10"/>
  <c r="I188" i="10"/>
  <c r="E185" i="10"/>
  <c r="Q50" i="10"/>
  <c r="P48" i="10"/>
  <c r="O48" i="10"/>
  <c r="N48" i="10"/>
  <c r="L48" i="10"/>
  <c r="K48" i="10"/>
  <c r="J48" i="10"/>
  <c r="I48" i="10"/>
  <c r="G40" i="10" l="1"/>
  <c r="G50" i="10"/>
  <c r="Q349" i="10"/>
  <c r="Q48" i="10"/>
  <c r="G48" i="10" l="1"/>
  <c r="E388" i="10" l="1"/>
  <c r="E386" i="10" s="1"/>
  <c r="E382" i="10"/>
  <c r="E380" i="10" s="1"/>
  <c r="E337" i="10"/>
  <c r="E335" i="10" s="1"/>
  <c r="E331" i="10"/>
  <c r="E327" i="10"/>
  <c r="E325" i="10" s="1"/>
  <c r="E324" i="10"/>
  <c r="E322" i="10" s="1"/>
  <c r="E321" i="10"/>
  <c r="E318" i="10"/>
  <c r="N235" i="10"/>
  <c r="E56" i="10"/>
  <c r="E314" i="10" l="1"/>
  <c r="E385" i="10"/>
  <c r="E383" i="10" s="1"/>
  <c r="E140" i="10"/>
  <c r="E139" i="10"/>
  <c r="F60" i="10"/>
  <c r="E126" i="10"/>
  <c r="E123" i="10"/>
  <c r="E121" i="10" s="1"/>
  <c r="E103" i="10"/>
  <c r="E100" i="10"/>
  <c r="E97" i="10"/>
  <c r="L103" i="10"/>
  <c r="G103" i="10" s="1"/>
  <c r="G101" i="10" s="1"/>
  <c r="L100" i="10"/>
  <c r="L98" i="10" s="1"/>
  <c r="L97" i="10"/>
  <c r="G97" i="10" s="1"/>
  <c r="G95" i="10" s="1"/>
  <c r="Q101" i="10"/>
  <c r="P101" i="10"/>
  <c r="O101" i="10"/>
  <c r="N101" i="10"/>
  <c r="K101" i="10"/>
  <c r="J101" i="10"/>
  <c r="I101" i="10"/>
  <c r="Q98" i="10"/>
  <c r="P98" i="10"/>
  <c r="O98" i="10"/>
  <c r="N98" i="10"/>
  <c r="K98" i="10"/>
  <c r="J98" i="10"/>
  <c r="I98" i="10"/>
  <c r="Q95" i="10"/>
  <c r="P95" i="10"/>
  <c r="O95" i="10"/>
  <c r="N95" i="10"/>
  <c r="K95" i="10"/>
  <c r="J95" i="10"/>
  <c r="I95" i="10"/>
  <c r="P24" i="10"/>
  <c r="L24" i="10"/>
  <c r="K24" i="10"/>
  <c r="J24" i="10"/>
  <c r="I24" i="10"/>
  <c r="E32" i="10"/>
  <c r="E30" i="10" s="1"/>
  <c r="Q32" i="10"/>
  <c r="G32" i="10" s="1"/>
  <c r="G30" i="10" s="1"/>
  <c r="P30" i="10"/>
  <c r="O30" i="10"/>
  <c r="N30" i="10"/>
  <c r="G100" i="10" l="1"/>
  <c r="G98" i="10" s="1"/>
  <c r="E137" i="10"/>
  <c r="Q30" i="10"/>
  <c r="L101" i="10"/>
  <c r="L95" i="10"/>
  <c r="K130" i="10" l="1"/>
  <c r="Q123" i="10" l="1"/>
  <c r="P121" i="10"/>
  <c r="O121" i="10"/>
  <c r="N121" i="10"/>
  <c r="O130" i="10"/>
  <c r="Q121" i="10" l="1"/>
  <c r="G123" i="10"/>
  <c r="G121" i="10" l="1"/>
  <c r="F314" i="10" l="1"/>
  <c r="F407" i="10" s="1"/>
  <c r="Q337" i="10"/>
  <c r="P335" i="10"/>
  <c r="O335" i="10"/>
  <c r="N335" i="10"/>
  <c r="Q261" i="10"/>
  <c r="Q260" i="10"/>
  <c r="G337" i="10" l="1"/>
  <c r="Q335" i="10"/>
  <c r="P385" i="10" l="1"/>
  <c r="O385" i="10"/>
  <c r="N385" i="10"/>
  <c r="L385" i="10"/>
  <c r="K385" i="10"/>
  <c r="J385" i="10"/>
  <c r="I385" i="10"/>
  <c r="Q388" i="10"/>
  <c r="Q386" i="10" s="1"/>
  <c r="P386" i="10"/>
  <c r="O386" i="10"/>
  <c r="N386" i="10"/>
  <c r="L386" i="10"/>
  <c r="K386" i="10"/>
  <c r="J386" i="10"/>
  <c r="I386" i="10"/>
  <c r="Q385" i="10" l="1"/>
  <c r="G388" i="10"/>
  <c r="G386" i="10" l="1"/>
  <c r="G385" i="10"/>
  <c r="Q327" i="10" l="1"/>
  <c r="Q325" i="10" s="1"/>
  <c r="Q324" i="10"/>
  <c r="Q322" i="10" s="1"/>
  <c r="P325" i="10"/>
  <c r="O325" i="10"/>
  <c r="N325" i="10"/>
  <c r="P322" i="10"/>
  <c r="O322" i="10"/>
  <c r="N322" i="10"/>
  <c r="Q382" i="10"/>
  <c r="P380" i="10"/>
  <c r="O380" i="10"/>
  <c r="N380" i="10"/>
  <c r="Q380" i="10" l="1"/>
  <c r="Q362" i="10"/>
  <c r="G327" i="10"/>
  <c r="G325" i="10" s="1"/>
  <c r="G324" i="10"/>
  <c r="G322" i="10" s="1"/>
  <c r="G382" i="10"/>
  <c r="G362" i="10" s="1"/>
  <c r="Q331" i="10"/>
  <c r="Q328" i="10" s="1"/>
  <c r="Q321" i="10"/>
  <c r="Q318" i="10"/>
  <c r="Q314" i="10" l="1"/>
  <c r="G380" i="10"/>
  <c r="E43" i="10" l="1"/>
  <c r="E39" i="10" s="1"/>
  <c r="F413" i="10"/>
  <c r="F417" i="10"/>
  <c r="L331" i="10"/>
  <c r="G331" i="10" s="1"/>
  <c r="G328" i="10" s="1"/>
  <c r="L321" i="10"/>
  <c r="G321" i="10" s="1"/>
  <c r="L318" i="10"/>
  <c r="N328" i="10"/>
  <c r="K328" i="10"/>
  <c r="J328" i="10"/>
  <c r="I328" i="10"/>
  <c r="E328" i="10"/>
  <c r="Q319" i="10"/>
  <c r="P319" i="10"/>
  <c r="O319" i="10"/>
  <c r="N319" i="10"/>
  <c r="K319" i="10"/>
  <c r="J319" i="10"/>
  <c r="I319" i="10"/>
  <c r="E319" i="10"/>
  <c r="Q316" i="10"/>
  <c r="P316" i="10"/>
  <c r="O316" i="10"/>
  <c r="N316" i="10"/>
  <c r="K316" i="10"/>
  <c r="J316" i="10"/>
  <c r="I316" i="10"/>
  <c r="E316" i="10"/>
  <c r="Q315" i="10"/>
  <c r="P315" i="10"/>
  <c r="P312" i="10" s="1"/>
  <c r="O315" i="10"/>
  <c r="N315" i="10"/>
  <c r="L315" i="10"/>
  <c r="K315" i="10"/>
  <c r="K312" i="10" s="1"/>
  <c r="J315" i="10"/>
  <c r="J312" i="10" s="1"/>
  <c r="I315" i="10"/>
  <c r="I312" i="10" s="1"/>
  <c r="E315" i="10"/>
  <c r="E312" i="10" s="1"/>
  <c r="L314" i="10" l="1"/>
  <c r="L312" i="10" s="1"/>
  <c r="O312" i="10"/>
  <c r="L316" i="10"/>
  <c r="L328" i="10"/>
  <c r="G318" i="10"/>
  <c r="L319" i="10"/>
  <c r="G315" i="10"/>
  <c r="G319" i="10"/>
  <c r="N312" i="10"/>
  <c r="Q312" i="10"/>
  <c r="G316" i="10" l="1"/>
  <c r="G314" i="10"/>
  <c r="G312" i="10" s="1"/>
  <c r="L133" i="10" l="1"/>
  <c r="E183" i="10"/>
  <c r="P183" i="10"/>
  <c r="O183" i="10"/>
  <c r="N183" i="10"/>
  <c r="Q185" i="10"/>
  <c r="Q183" i="10" l="1"/>
  <c r="G185" i="10"/>
  <c r="G183" i="10" l="1"/>
  <c r="Q56" i="10" l="1"/>
  <c r="Q53" i="10" s="1"/>
  <c r="P54" i="10"/>
  <c r="O54" i="10"/>
  <c r="N54" i="10"/>
  <c r="L54" i="10"/>
  <c r="K54" i="10"/>
  <c r="J54" i="10"/>
  <c r="I54" i="10"/>
  <c r="P53" i="10"/>
  <c r="O53" i="10"/>
  <c r="N53" i="10"/>
  <c r="N51" i="10" s="1"/>
  <c r="L53" i="10"/>
  <c r="L51" i="10" s="1"/>
  <c r="K53" i="10"/>
  <c r="K51" i="10" s="1"/>
  <c r="J53" i="10"/>
  <c r="J51" i="10" s="1"/>
  <c r="I53" i="10"/>
  <c r="I51" i="10" s="1"/>
  <c r="E53" i="10"/>
  <c r="E51" i="10" s="1"/>
  <c r="E54" i="10"/>
  <c r="Q54" i="10" l="1"/>
  <c r="P51" i="10"/>
  <c r="Q51" i="10"/>
  <c r="G56" i="10"/>
  <c r="K274" i="10"/>
  <c r="J274" i="10"/>
  <c r="I274" i="10"/>
  <c r="P284" i="10"/>
  <c r="O284" i="10"/>
  <c r="N284" i="10"/>
  <c r="K284" i="10"/>
  <c r="J284" i="10"/>
  <c r="I284" i="10"/>
  <c r="Q287" i="10"/>
  <c r="L287" i="10"/>
  <c r="E287" i="10"/>
  <c r="E223" i="10"/>
  <c r="E221" i="10" s="1"/>
  <c r="Q136" i="10"/>
  <c r="Q134" i="10" s="1"/>
  <c r="L136" i="10"/>
  <c r="L134" i="10" s="1"/>
  <c r="P134" i="10"/>
  <c r="O134" i="10"/>
  <c r="N134" i="10"/>
  <c r="K134" i="10"/>
  <c r="J134" i="10"/>
  <c r="F134" i="10"/>
  <c r="I134" i="10"/>
  <c r="E136" i="10"/>
  <c r="E134" i="10" s="1"/>
  <c r="F130" i="10"/>
  <c r="E133" i="10"/>
  <c r="E132" i="10"/>
  <c r="E129" i="10"/>
  <c r="E127" i="10" s="1"/>
  <c r="Q284" i="10" l="1"/>
  <c r="E130" i="10"/>
  <c r="G54" i="10"/>
  <c r="G53" i="10"/>
  <c r="G287" i="10"/>
  <c r="G136" i="10"/>
  <c r="G51" i="10" l="1"/>
  <c r="G134" i="10"/>
  <c r="L140" i="10" l="1"/>
  <c r="L139" i="10"/>
  <c r="G139" i="10" s="1"/>
  <c r="K137" i="10"/>
  <c r="J137" i="10"/>
  <c r="I137" i="10"/>
  <c r="L137" i="10" l="1"/>
  <c r="Q295" i="10"/>
  <c r="P130" i="10" l="1"/>
  <c r="Q133" i="10" l="1"/>
  <c r="Q132" i="10"/>
  <c r="N131" i="10"/>
  <c r="N130" i="10" s="1"/>
  <c r="Q130" i="10" l="1"/>
  <c r="Q237" i="10"/>
  <c r="Q235" i="10" s="1"/>
  <c r="P235" i="10"/>
  <c r="O235" i="10"/>
  <c r="G237" i="10" l="1"/>
  <c r="G235" i="10" s="1"/>
  <c r="L158" i="10" l="1"/>
  <c r="L151" i="10" s="1"/>
  <c r="J130" i="10" l="1"/>
  <c r="I130" i="10"/>
  <c r="K127" i="10"/>
  <c r="J127" i="10"/>
  <c r="I127" i="10"/>
  <c r="L132" i="10"/>
  <c r="L129" i="10"/>
  <c r="G129" i="10" l="1"/>
  <c r="G132" i="10"/>
  <c r="G133" i="10"/>
  <c r="L127" i="10"/>
  <c r="G127" i="10" s="1"/>
  <c r="G130" i="10"/>
  <c r="P341" i="10"/>
  <c r="O341" i="10"/>
  <c r="N341" i="10"/>
  <c r="L341" i="10"/>
  <c r="K341" i="10"/>
  <c r="J341" i="10"/>
  <c r="I341" i="10"/>
  <c r="Q348" i="10"/>
  <c r="Q346" i="10" s="1"/>
  <c r="E348" i="10"/>
  <c r="E346" i="10" s="1"/>
  <c r="P346" i="10"/>
  <c r="O346" i="10"/>
  <c r="N346" i="10"/>
  <c r="L346" i="10"/>
  <c r="K346" i="10"/>
  <c r="J346" i="10"/>
  <c r="I346" i="10"/>
  <c r="E355" i="10"/>
  <c r="P352" i="10"/>
  <c r="O352" i="10"/>
  <c r="N352" i="10"/>
  <c r="L352" i="10"/>
  <c r="K352" i="10"/>
  <c r="J352" i="10"/>
  <c r="I352" i="10"/>
  <c r="Q355" i="10"/>
  <c r="G355" i="10" s="1"/>
  <c r="F274" i="10"/>
  <c r="F418" i="10" s="1"/>
  <c r="E305" i="10"/>
  <c r="E303" i="10" s="1"/>
  <c r="I303" i="10"/>
  <c r="E217" i="10"/>
  <c r="E215" i="10" s="1"/>
  <c r="G348" i="10" l="1"/>
  <c r="G346" i="10" s="1"/>
  <c r="L120" i="10" l="1"/>
  <c r="J303" i="10" l="1"/>
  <c r="O206" i="10"/>
  <c r="Q35" i="10" l="1"/>
  <c r="Q24" i="10" l="1"/>
  <c r="G35" i="10"/>
  <c r="K303" i="10" l="1"/>
  <c r="Q305" i="10"/>
  <c r="L305" i="10"/>
  <c r="L303" i="10" s="1"/>
  <c r="Q303" i="10" l="1"/>
  <c r="G305" i="10"/>
  <c r="G303" i="10" l="1"/>
  <c r="Q217" i="10" l="1"/>
  <c r="O215" i="10"/>
  <c r="P215" i="10"/>
  <c r="N215" i="10"/>
  <c r="G217" i="10" l="1"/>
  <c r="Q215" i="10"/>
  <c r="G215" i="10" l="1"/>
  <c r="Q291" i="10" l="1"/>
  <c r="Q274" i="10" s="1"/>
  <c r="Q223" i="10" l="1"/>
  <c r="G223" i="10" s="1"/>
  <c r="G221" i="10" s="1"/>
  <c r="O221" i="10"/>
  <c r="P221" i="10"/>
  <c r="N221" i="10"/>
  <c r="Q221" i="10" l="1"/>
  <c r="N338" i="10"/>
  <c r="L338" i="10"/>
  <c r="K338" i="10"/>
  <c r="J338" i="10"/>
  <c r="I338" i="10"/>
  <c r="Q345" i="10"/>
  <c r="Q341" i="10" s="1"/>
  <c r="Q344" i="10"/>
  <c r="O342" i="10"/>
  <c r="P342" i="10"/>
  <c r="N342" i="10"/>
  <c r="L342" i="10"/>
  <c r="E345" i="10"/>
  <c r="E341" i="10" s="1"/>
  <c r="E344" i="10"/>
  <c r="P338" i="10" l="1"/>
  <c r="G345" i="10"/>
  <c r="G341" i="10" s="1"/>
  <c r="O338" i="10"/>
  <c r="E342" i="10"/>
  <c r="Q342" i="10"/>
  <c r="G344" i="10"/>
  <c r="G342" i="10" l="1"/>
  <c r="E226" i="10" l="1"/>
  <c r="E401" i="10" l="1"/>
  <c r="E379" i="10"/>
  <c r="E365" i="10"/>
  <c r="E358" i="10"/>
  <c r="E354" i="10"/>
  <c r="E308" i="10"/>
  <c r="E302" i="10"/>
  <c r="E295" i="10"/>
  <c r="E291" i="10"/>
  <c r="E286" i="10"/>
  <c r="E282" i="10"/>
  <c r="E265" i="10"/>
  <c r="E264" i="10"/>
  <c r="E261" i="10"/>
  <c r="E260" i="10"/>
  <c r="E257" i="10"/>
  <c r="E254" i="10"/>
  <c r="E251" i="10"/>
  <c r="E243" i="10"/>
  <c r="E237" i="10"/>
  <c r="E235" i="10" s="1"/>
  <c r="E234" i="10"/>
  <c r="E231" i="10"/>
  <c r="E227" i="10"/>
  <c r="E220" i="10"/>
  <c r="E214" i="10"/>
  <c r="E212" i="10"/>
  <c r="E209" i="10"/>
  <c r="E208" i="10"/>
  <c r="E193" i="10"/>
  <c r="E192" i="10"/>
  <c r="E182" i="10"/>
  <c r="E152" i="10" s="1"/>
  <c r="E170" i="10"/>
  <c r="E161" i="10"/>
  <c r="E158" i="10"/>
  <c r="E120" i="10"/>
  <c r="E116" i="10"/>
  <c r="E113" i="10"/>
  <c r="E110" i="10"/>
  <c r="E107" i="10"/>
  <c r="E94" i="10"/>
  <c r="E82" i="10"/>
  <c r="E79" i="10"/>
  <c r="E76" i="10"/>
  <c r="E73" i="10"/>
  <c r="E70" i="10"/>
  <c r="E67" i="10"/>
  <c r="E63" i="10"/>
  <c r="E35" i="10"/>
  <c r="E24" i="10" s="1"/>
  <c r="E189" i="10" l="1"/>
  <c r="E59" i="10"/>
  <c r="E151" i="10"/>
  <c r="E340" i="10"/>
  <c r="E338" i="10" s="1"/>
  <c r="E188" i="10"/>
  <c r="E60" i="10"/>
  <c r="E361" i="10"/>
  <c r="E359" i="10" s="1"/>
  <c r="E274" i="10"/>
  <c r="E273" i="10"/>
  <c r="E284" i="10"/>
  <c r="E352" i="10"/>
  <c r="Q389" i="10"/>
  <c r="P399" i="10"/>
  <c r="O399" i="10"/>
  <c r="N399" i="10"/>
  <c r="L399" i="10"/>
  <c r="K399" i="10"/>
  <c r="J399" i="10"/>
  <c r="I399" i="10"/>
  <c r="P391" i="10"/>
  <c r="P389" i="10" s="1"/>
  <c r="O391" i="10"/>
  <c r="N391" i="10"/>
  <c r="L391" i="10"/>
  <c r="L389" i="10" s="1"/>
  <c r="K391" i="10"/>
  <c r="J391" i="10"/>
  <c r="I391" i="10"/>
  <c r="E399" i="10"/>
  <c r="E391" i="10"/>
  <c r="E389" i="10" s="1"/>
  <c r="Q379" i="10"/>
  <c r="Q365" i="10"/>
  <c r="P377" i="10"/>
  <c r="O377" i="10"/>
  <c r="N377" i="10"/>
  <c r="L377" i="10"/>
  <c r="K377" i="10"/>
  <c r="J377" i="10"/>
  <c r="I377" i="10"/>
  <c r="P363" i="10"/>
  <c r="O363" i="10"/>
  <c r="N363" i="10"/>
  <c r="L363" i="10"/>
  <c r="K363" i="10"/>
  <c r="J363" i="10"/>
  <c r="I363" i="10"/>
  <c r="L361" i="10"/>
  <c r="K361" i="10"/>
  <c r="J361" i="10"/>
  <c r="I361" i="10"/>
  <c r="L359" i="10"/>
  <c r="E377" i="10"/>
  <c r="E363" i="10"/>
  <c r="Q358" i="10"/>
  <c r="Q356" i="10" s="1"/>
  <c r="Q354" i="10"/>
  <c r="P356" i="10"/>
  <c r="O356" i="10"/>
  <c r="N356" i="10"/>
  <c r="L356" i="10"/>
  <c r="K356" i="10"/>
  <c r="J356" i="10"/>
  <c r="I356" i="10"/>
  <c r="E356" i="10"/>
  <c r="Q302" i="10"/>
  <c r="Q273" i="10" s="1"/>
  <c r="L308" i="10"/>
  <c r="L302" i="10"/>
  <c r="L300" i="10" s="1"/>
  <c r="L295" i="10"/>
  <c r="G295" i="10" s="1"/>
  <c r="L291" i="10"/>
  <c r="L286" i="10"/>
  <c r="G286" i="10" s="1"/>
  <c r="L282" i="10"/>
  <c r="G282" i="10" s="1"/>
  <c r="Q306" i="10"/>
  <c r="P306" i="10"/>
  <c r="O306" i="10"/>
  <c r="N306" i="10"/>
  <c r="K306" i="10"/>
  <c r="J306" i="10"/>
  <c r="I306" i="10"/>
  <c r="P300" i="10"/>
  <c r="O300" i="10"/>
  <c r="N300" i="10"/>
  <c r="K300" i="10"/>
  <c r="J300" i="10"/>
  <c r="I300" i="10"/>
  <c r="Q292" i="10"/>
  <c r="P292" i="10"/>
  <c r="O292" i="10"/>
  <c r="N292" i="10"/>
  <c r="K292" i="10"/>
  <c r="J292" i="10"/>
  <c r="I292" i="10"/>
  <c r="Q288" i="10"/>
  <c r="P288" i="10"/>
  <c r="O288" i="10"/>
  <c r="N288" i="10"/>
  <c r="K288" i="10"/>
  <c r="J288" i="10"/>
  <c r="I288" i="10"/>
  <c r="Q279" i="10"/>
  <c r="P279" i="10"/>
  <c r="O279" i="10"/>
  <c r="N279" i="10"/>
  <c r="K279" i="10"/>
  <c r="J279" i="10"/>
  <c r="I279" i="10"/>
  <c r="E306" i="10"/>
  <c r="E300" i="10"/>
  <c r="E292" i="10"/>
  <c r="E288" i="10"/>
  <c r="E279" i="10"/>
  <c r="P273" i="10"/>
  <c r="O273" i="10"/>
  <c r="O271" i="10" s="1"/>
  <c r="N273" i="10"/>
  <c r="N271" i="10" s="1"/>
  <c r="K273" i="10"/>
  <c r="J273" i="10"/>
  <c r="I273" i="10"/>
  <c r="P247" i="10"/>
  <c r="N247" i="10"/>
  <c r="L247" i="10"/>
  <c r="K247" i="10"/>
  <c r="J247" i="10"/>
  <c r="I247" i="10"/>
  <c r="E247" i="10"/>
  <c r="Q265" i="10"/>
  <c r="Q248" i="10" s="1"/>
  <c r="Q264" i="10"/>
  <c r="G264" i="10" s="1"/>
  <c r="Q258" i="10"/>
  <c r="Q257" i="10"/>
  <c r="G257" i="10" s="1"/>
  <c r="G255" i="10" s="1"/>
  <c r="Q254" i="10"/>
  <c r="G254" i="10" s="1"/>
  <c r="G252" i="10" s="1"/>
  <c r="Q251" i="10"/>
  <c r="L261" i="10"/>
  <c r="L258" i="10" s="1"/>
  <c r="P262" i="10"/>
  <c r="O262" i="10"/>
  <c r="N262" i="10"/>
  <c r="L262" i="10"/>
  <c r="K262" i="10"/>
  <c r="J262" i="10"/>
  <c r="I262" i="10"/>
  <c r="P258" i="10"/>
  <c r="O258" i="10"/>
  <c r="N258" i="10"/>
  <c r="K258" i="10"/>
  <c r="J258" i="10"/>
  <c r="I258" i="10"/>
  <c r="P255" i="10"/>
  <c r="O255" i="10"/>
  <c r="N255" i="10"/>
  <c r="L255" i="10"/>
  <c r="K255" i="10"/>
  <c r="J255" i="10"/>
  <c r="I255" i="10"/>
  <c r="P252" i="10"/>
  <c r="O252" i="10"/>
  <c r="N252" i="10"/>
  <c r="L252" i="10"/>
  <c r="K252" i="10"/>
  <c r="J252" i="10"/>
  <c r="I252" i="10"/>
  <c r="P249" i="10"/>
  <c r="O249" i="10"/>
  <c r="N249" i="10"/>
  <c r="L249" i="10"/>
  <c r="K249" i="10"/>
  <c r="J249" i="10"/>
  <c r="I249" i="10"/>
  <c r="E262" i="10"/>
  <c r="E258" i="10"/>
  <c r="E255" i="10"/>
  <c r="E252" i="10"/>
  <c r="E249" i="10"/>
  <c r="P248" i="10"/>
  <c r="O248" i="10"/>
  <c r="N248" i="10"/>
  <c r="K248" i="10"/>
  <c r="J248" i="10"/>
  <c r="I248" i="10"/>
  <c r="E248" i="10"/>
  <c r="P190" i="10"/>
  <c r="O190" i="10"/>
  <c r="N190" i="10"/>
  <c r="L190" i="10"/>
  <c r="K190" i="10"/>
  <c r="J190" i="10"/>
  <c r="I190" i="10"/>
  <c r="Q243" i="10"/>
  <c r="Q234" i="10"/>
  <c r="Q227" i="10"/>
  <c r="Q226" i="10"/>
  <c r="Q220" i="10"/>
  <c r="Q214" i="10"/>
  <c r="G214" i="10" s="1"/>
  <c r="Q213" i="10"/>
  <c r="G213" i="10" s="1"/>
  <c r="Q212" i="10"/>
  <c r="Q209" i="10"/>
  <c r="Q208" i="10"/>
  <c r="Q193" i="10"/>
  <c r="L241" i="10"/>
  <c r="K241" i="10"/>
  <c r="J241" i="10"/>
  <c r="I241" i="10"/>
  <c r="P232" i="10"/>
  <c r="O232" i="10"/>
  <c r="N232" i="10"/>
  <c r="L232" i="10"/>
  <c r="K232" i="10"/>
  <c r="J232" i="10"/>
  <c r="I232" i="10"/>
  <c r="P224" i="10"/>
  <c r="O224" i="10"/>
  <c r="N224" i="10"/>
  <c r="L224" i="10"/>
  <c r="K224" i="10"/>
  <c r="J224" i="10"/>
  <c r="I224" i="10"/>
  <c r="P218" i="10"/>
  <c r="O218" i="10"/>
  <c r="N218" i="10"/>
  <c r="L218" i="10"/>
  <c r="K218" i="10"/>
  <c r="J218" i="10"/>
  <c r="I218" i="10"/>
  <c r="P210" i="10"/>
  <c r="O210" i="10"/>
  <c r="N210" i="10"/>
  <c r="L210" i="10"/>
  <c r="K210" i="10"/>
  <c r="J210" i="10"/>
  <c r="I210" i="10"/>
  <c r="P206" i="10"/>
  <c r="N206" i="10"/>
  <c r="L206" i="10"/>
  <c r="K206" i="10"/>
  <c r="J206" i="10"/>
  <c r="I206" i="10"/>
  <c r="E232" i="10"/>
  <c r="E218" i="10"/>
  <c r="E210" i="10"/>
  <c r="E206" i="10"/>
  <c r="E190" i="10"/>
  <c r="L186" i="10"/>
  <c r="K186" i="10"/>
  <c r="J186" i="10"/>
  <c r="I186" i="10"/>
  <c r="Q182" i="10"/>
  <c r="Q152" i="10" s="1"/>
  <c r="Q170" i="10"/>
  <c r="Q161" i="10"/>
  <c r="Q159" i="10" s="1"/>
  <c r="Q158" i="10"/>
  <c r="L182" i="10"/>
  <c r="L152" i="10" s="1"/>
  <c r="O180" i="10"/>
  <c r="N180" i="10"/>
  <c r="K180" i="10"/>
  <c r="J180" i="10"/>
  <c r="I180" i="10"/>
  <c r="P168" i="10"/>
  <c r="O168" i="10"/>
  <c r="N168" i="10"/>
  <c r="L168" i="10"/>
  <c r="K168" i="10"/>
  <c r="J168" i="10"/>
  <c r="I168" i="10"/>
  <c r="P159" i="10"/>
  <c r="O159" i="10"/>
  <c r="N159" i="10"/>
  <c r="L159" i="10"/>
  <c r="K159" i="10"/>
  <c r="J159" i="10"/>
  <c r="I159" i="10"/>
  <c r="P156" i="10"/>
  <c r="O156" i="10"/>
  <c r="N156" i="10"/>
  <c r="L156" i="10"/>
  <c r="K156" i="10"/>
  <c r="J156" i="10"/>
  <c r="I156" i="10"/>
  <c r="E180" i="10"/>
  <c r="E168" i="10"/>
  <c r="E159" i="10"/>
  <c r="E156" i="10"/>
  <c r="P149" i="10"/>
  <c r="Q126" i="10"/>
  <c r="Q124" i="10" s="1"/>
  <c r="Q120" i="10"/>
  <c r="Q116" i="10"/>
  <c r="Q113" i="10"/>
  <c r="Q111" i="10" s="1"/>
  <c r="Q110" i="10"/>
  <c r="Q108" i="10" s="1"/>
  <c r="Q107" i="10"/>
  <c r="Q94" i="10"/>
  <c r="Q82" i="10"/>
  <c r="Q80" i="10" s="1"/>
  <c r="Q79" i="10"/>
  <c r="Q77" i="10" s="1"/>
  <c r="Q76" i="10"/>
  <c r="Q74" i="10" s="1"/>
  <c r="Q71" i="10"/>
  <c r="Q68" i="10"/>
  <c r="Q67" i="10"/>
  <c r="Q63" i="10"/>
  <c r="L126" i="10"/>
  <c r="L116" i="10"/>
  <c r="L114" i="10" s="1"/>
  <c r="L113" i="10"/>
  <c r="L110" i="10"/>
  <c r="L108" i="10" s="1"/>
  <c r="L107" i="10"/>
  <c r="L94" i="10"/>
  <c r="L92" i="10" s="1"/>
  <c r="L82" i="10"/>
  <c r="L79" i="10"/>
  <c r="L77" i="10" s="1"/>
  <c r="L76" i="10"/>
  <c r="L73" i="10"/>
  <c r="L67" i="10"/>
  <c r="L63" i="10"/>
  <c r="P124" i="10"/>
  <c r="O124" i="10"/>
  <c r="N124" i="10"/>
  <c r="K124" i="10"/>
  <c r="J124" i="10"/>
  <c r="I124" i="10"/>
  <c r="P117" i="10"/>
  <c r="O117" i="10"/>
  <c r="N117" i="10"/>
  <c r="K117" i="10"/>
  <c r="J117" i="10"/>
  <c r="I117" i="10"/>
  <c r="Q114" i="10"/>
  <c r="P114" i="10"/>
  <c r="O114" i="10"/>
  <c r="N114" i="10"/>
  <c r="K114" i="10"/>
  <c r="J114" i="10"/>
  <c r="I114" i="10"/>
  <c r="P111" i="10"/>
  <c r="O111" i="10"/>
  <c r="N111" i="10"/>
  <c r="K111" i="10"/>
  <c r="J111" i="10"/>
  <c r="I111" i="10"/>
  <c r="P108" i="10"/>
  <c r="O108" i="10"/>
  <c r="N108" i="10"/>
  <c r="K108" i="10"/>
  <c r="J108" i="10"/>
  <c r="I108" i="10"/>
  <c r="P104" i="10"/>
  <c r="O104" i="10"/>
  <c r="N104" i="10"/>
  <c r="K104" i="10"/>
  <c r="J104" i="10"/>
  <c r="I104" i="10"/>
  <c r="P92" i="10"/>
  <c r="O92" i="10"/>
  <c r="N92" i="10"/>
  <c r="K92" i="10"/>
  <c r="J92" i="10"/>
  <c r="I92" i="10"/>
  <c r="P80" i="10"/>
  <c r="O80" i="10"/>
  <c r="N80" i="10"/>
  <c r="K80" i="10"/>
  <c r="J80" i="10"/>
  <c r="I80" i="10"/>
  <c r="P77" i="10"/>
  <c r="O77" i="10"/>
  <c r="N77" i="10"/>
  <c r="K77" i="10"/>
  <c r="J77" i="10"/>
  <c r="I77" i="10"/>
  <c r="P74" i="10"/>
  <c r="O74" i="10"/>
  <c r="N74" i="10"/>
  <c r="K74" i="10"/>
  <c r="J74" i="10"/>
  <c r="I74" i="10"/>
  <c r="P71" i="10"/>
  <c r="O71" i="10"/>
  <c r="N71" i="10"/>
  <c r="K71" i="10"/>
  <c r="J71" i="10"/>
  <c r="I71" i="10"/>
  <c r="O68" i="10"/>
  <c r="N68" i="10"/>
  <c r="J68" i="10"/>
  <c r="I68" i="10"/>
  <c r="P65" i="10"/>
  <c r="O65" i="10"/>
  <c r="N65" i="10"/>
  <c r="K65" i="10"/>
  <c r="J65" i="10"/>
  <c r="I65" i="10"/>
  <c r="P61" i="10"/>
  <c r="O61" i="10"/>
  <c r="N61" i="10"/>
  <c r="K61" i="10"/>
  <c r="J61" i="10"/>
  <c r="I61" i="10"/>
  <c r="E124" i="10"/>
  <c r="E117" i="10"/>
  <c r="E114" i="10"/>
  <c r="E111" i="10"/>
  <c r="E108" i="10"/>
  <c r="E104" i="10"/>
  <c r="E92" i="10"/>
  <c r="E80" i="10"/>
  <c r="E77" i="10"/>
  <c r="E74" i="10"/>
  <c r="E71" i="10"/>
  <c r="E68" i="10"/>
  <c r="E65" i="10"/>
  <c r="E61" i="10"/>
  <c r="P57" i="10"/>
  <c r="N57" i="10"/>
  <c r="Q43" i="10"/>
  <c r="Q39" i="10" s="1"/>
  <c r="P41" i="10"/>
  <c r="O41" i="10"/>
  <c r="N41" i="10"/>
  <c r="L41" i="10"/>
  <c r="K41" i="10"/>
  <c r="J41" i="10"/>
  <c r="I41" i="10"/>
  <c r="O37" i="10"/>
  <c r="L37" i="10"/>
  <c r="K37" i="10"/>
  <c r="J37" i="10"/>
  <c r="I37" i="10"/>
  <c r="E41" i="10"/>
  <c r="Q22" i="10"/>
  <c r="P33" i="10"/>
  <c r="O33" i="10"/>
  <c r="N33" i="10"/>
  <c r="L33" i="10"/>
  <c r="K33" i="10"/>
  <c r="J33" i="10"/>
  <c r="I33" i="10"/>
  <c r="P22" i="10"/>
  <c r="O22" i="10"/>
  <c r="L22" i="10"/>
  <c r="J22" i="10"/>
  <c r="E33" i="10"/>
  <c r="Q189" i="10" l="1"/>
  <c r="Q59" i="10"/>
  <c r="L60" i="10"/>
  <c r="L59" i="10"/>
  <c r="O408" i="10"/>
  <c r="O418" i="10"/>
  <c r="P408" i="10"/>
  <c r="P418" i="10"/>
  <c r="N407" i="10"/>
  <c r="N418" i="10"/>
  <c r="N408" i="10"/>
  <c r="Q361" i="10"/>
  <c r="Q359" i="10" s="1"/>
  <c r="G227" i="10"/>
  <c r="Q168" i="10"/>
  <c r="Q151" i="10"/>
  <c r="G243" i="10"/>
  <c r="G241" i="10" s="1"/>
  <c r="Q241" i="10"/>
  <c r="G234" i="10"/>
  <c r="Q188" i="10"/>
  <c r="P407" i="10"/>
  <c r="G292" i="10"/>
  <c r="Q65" i="10"/>
  <c r="I407" i="10"/>
  <c r="L306" i="10"/>
  <c r="G308" i="10"/>
  <c r="G306" i="10" s="1"/>
  <c r="O389" i="10"/>
  <c r="O417" i="10"/>
  <c r="G126" i="10"/>
  <c r="G124" i="10" s="1"/>
  <c r="J407" i="10"/>
  <c r="O407" i="10"/>
  <c r="K407" i="10"/>
  <c r="G43" i="10"/>
  <c r="G39" i="10" s="1"/>
  <c r="Q37" i="10"/>
  <c r="Q352" i="10"/>
  <c r="Q340" i="10"/>
  <c r="G226" i="10"/>
  <c r="Q92" i="10"/>
  <c r="I22" i="10"/>
  <c r="K22" i="10"/>
  <c r="N22" i="10"/>
  <c r="J418" i="10"/>
  <c r="J408" i="10"/>
  <c r="I417" i="10"/>
  <c r="K417" i="10"/>
  <c r="N417" i="10"/>
  <c r="I418" i="10"/>
  <c r="I408" i="10"/>
  <c r="K418" i="10"/>
  <c r="K408" i="10"/>
  <c r="J417" i="10"/>
  <c r="P37" i="10"/>
  <c r="P417" i="10"/>
  <c r="Q180" i="10"/>
  <c r="N149" i="10"/>
  <c r="I389" i="10"/>
  <c r="K389" i="10"/>
  <c r="N389" i="10"/>
  <c r="J389" i="10"/>
  <c r="Q363" i="10"/>
  <c r="J359" i="10"/>
  <c r="I359" i="10"/>
  <c r="K359" i="10"/>
  <c r="N37" i="10"/>
  <c r="P245" i="10"/>
  <c r="N245" i="10"/>
  <c r="G161" i="10"/>
  <c r="Q61" i="10"/>
  <c r="Q104" i="10"/>
  <c r="L61" i="10"/>
  <c r="K149" i="10"/>
  <c r="L274" i="10"/>
  <c r="G284" i="10"/>
  <c r="L284" i="10"/>
  <c r="G208" i="10"/>
  <c r="J245" i="10"/>
  <c r="I245" i="10"/>
  <c r="G76" i="10"/>
  <c r="G74" i="10" s="1"/>
  <c r="G107" i="10"/>
  <c r="G113" i="10"/>
  <c r="G111" i="10" s="1"/>
  <c r="K245" i="10"/>
  <c r="Q377" i="10"/>
  <c r="G379" i="10"/>
  <c r="G377" i="10" s="1"/>
  <c r="G82" i="10"/>
  <c r="G80" i="10" s="1"/>
  <c r="L71" i="10"/>
  <c r="L65" i="10"/>
  <c r="G158" i="10"/>
  <c r="Q117" i="10"/>
  <c r="G120" i="10"/>
  <c r="G117" i="10" s="1"/>
  <c r="I149" i="10"/>
  <c r="G279" i="10"/>
  <c r="Q218" i="10"/>
  <c r="G358" i="10"/>
  <c r="G356" i="10" s="1"/>
  <c r="J271" i="10"/>
  <c r="L288" i="10"/>
  <c r="G302" i="10"/>
  <c r="G300" i="10" s="1"/>
  <c r="O245" i="10"/>
  <c r="Q300" i="10"/>
  <c r="Q271" i="10"/>
  <c r="P271" i="10"/>
  <c r="J149" i="10"/>
  <c r="G212" i="10"/>
  <c r="G210" i="10" s="1"/>
  <c r="G182" i="10"/>
  <c r="G152" i="10" s="1"/>
  <c r="Q399" i="10"/>
  <c r="G401" i="10"/>
  <c r="G365" i="10"/>
  <c r="I271" i="10"/>
  <c r="G265" i="10"/>
  <c r="G262" i="10" s="1"/>
  <c r="L248" i="10"/>
  <c r="L245" i="10" s="1"/>
  <c r="G261" i="10"/>
  <c r="G260" i="10"/>
  <c r="Q232" i="10"/>
  <c r="Q224" i="10"/>
  <c r="N186" i="10"/>
  <c r="Q210" i="10"/>
  <c r="L180" i="10"/>
  <c r="E149" i="10"/>
  <c r="Q156" i="10"/>
  <c r="L111" i="10"/>
  <c r="I57" i="10"/>
  <c r="Q41" i="10"/>
  <c r="E22" i="10"/>
  <c r="Q33" i="10"/>
  <c r="G116" i="10"/>
  <c r="G114" i="10" s="1"/>
  <c r="Q252" i="10"/>
  <c r="Q247" i="10"/>
  <c r="Q245" i="10" s="1"/>
  <c r="G67" i="10"/>
  <c r="Q206" i="10"/>
  <c r="Q255" i="10"/>
  <c r="G209" i="10"/>
  <c r="L292" i="10"/>
  <c r="G291" i="10"/>
  <c r="L80" i="10"/>
  <c r="L74" i="10"/>
  <c r="G73" i="10"/>
  <c r="J57" i="10"/>
  <c r="G220" i="10"/>
  <c r="Q249" i="10"/>
  <c r="P186" i="10"/>
  <c r="L117" i="10"/>
  <c r="L104" i="10"/>
  <c r="G70" i="10"/>
  <c r="G68" i="10" s="1"/>
  <c r="G63" i="10"/>
  <c r="O186" i="10"/>
  <c r="Q190" i="10"/>
  <c r="G193" i="10"/>
  <c r="G251" i="10"/>
  <c r="K271" i="10"/>
  <c r="L279" i="10"/>
  <c r="L124" i="10"/>
  <c r="G110" i="10"/>
  <c r="G108" i="10" s="1"/>
  <c r="G94" i="10"/>
  <c r="G79" i="10"/>
  <c r="G77" i="10" s="1"/>
  <c r="K57" i="10"/>
  <c r="L149" i="10"/>
  <c r="G354" i="10"/>
  <c r="G170" i="10"/>
  <c r="O149" i="10"/>
  <c r="E186" i="10"/>
  <c r="L273" i="10"/>
  <c r="E271" i="10"/>
  <c r="Q262" i="10"/>
  <c r="E245" i="10"/>
  <c r="E16" i="10"/>
  <c r="E9" i="10"/>
  <c r="E7" i="10" s="1"/>
  <c r="F423" i="10"/>
  <c r="F412" i="10"/>
  <c r="E17" i="10"/>
  <c r="E18" i="10"/>
  <c r="E10" i="10"/>
  <c r="F414" i="10"/>
  <c r="F416" i="10"/>
  <c r="F421" i="10" s="1"/>
  <c r="F422" i="10"/>
  <c r="G224" i="10" l="1"/>
  <c r="G340" i="10"/>
  <c r="G361" i="10"/>
  <c r="G359" i="10" s="1"/>
  <c r="I411" i="10"/>
  <c r="N411" i="10"/>
  <c r="Q407" i="10"/>
  <c r="G189" i="10"/>
  <c r="G168" i="10"/>
  <c r="G151" i="10"/>
  <c r="G232" i="10"/>
  <c r="G188" i="10"/>
  <c r="G274" i="10"/>
  <c r="G248" i="10"/>
  <c r="G258" i="10"/>
  <c r="L407" i="10"/>
  <c r="G24" i="10"/>
  <c r="G22" i="10" s="1"/>
  <c r="L418" i="10"/>
  <c r="G156" i="10"/>
  <c r="L408" i="10"/>
  <c r="L417" i="10"/>
  <c r="Q417" i="10"/>
  <c r="G180" i="10"/>
  <c r="G41" i="10"/>
  <c r="G363" i="10"/>
  <c r="Q338" i="10"/>
  <c r="G37" i="10"/>
  <c r="F419" i="10"/>
  <c r="G273" i="10"/>
  <c r="I423" i="10"/>
  <c r="G159" i="10"/>
  <c r="G61" i="10"/>
  <c r="G104" i="10"/>
  <c r="G71" i="10"/>
  <c r="G65" i="10"/>
  <c r="E14" i="10"/>
  <c r="P423" i="10"/>
  <c r="N423" i="10"/>
  <c r="G352" i="10"/>
  <c r="G206" i="10"/>
  <c r="G218" i="10"/>
  <c r="J423" i="10"/>
  <c r="K423" i="10"/>
  <c r="G288" i="10"/>
  <c r="G391" i="10"/>
  <c r="G389" i="10" s="1"/>
  <c r="G399" i="10"/>
  <c r="Q186" i="10"/>
  <c r="G33" i="10"/>
  <c r="L271" i="10"/>
  <c r="G190" i="10"/>
  <c r="G249" i="10"/>
  <c r="G247" i="10"/>
  <c r="G92" i="10"/>
  <c r="L57" i="10"/>
  <c r="Q149" i="10"/>
  <c r="G245" i="10" l="1"/>
  <c r="G407" i="10"/>
  <c r="G429" i="10" s="1"/>
  <c r="G271" i="10"/>
  <c r="R417" i="10"/>
  <c r="G338" i="10"/>
  <c r="G149" i="10"/>
  <c r="L423" i="10"/>
  <c r="G186" i="10"/>
  <c r="F428" i="10" l="1"/>
  <c r="G428" i="10"/>
  <c r="I405" i="10" l="1"/>
  <c r="I383" i="10"/>
  <c r="I416" i="10" s="1"/>
  <c r="J383" i="10"/>
  <c r="I419" i="10" l="1"/>
  <c r="J413" i="10"/>
  <c r="J416" i="10"/>
  <c r="I412" i="10"/>
  <c r="I421" i="10"/>
  <c r="I413" i="10"/>
  <c r="I422" i="10"/>
  <c r="I414" i="10" l="1"/>
  <c r="J419" i="10"/>
  <c r="K383" i="10"/>
  <c r="J422" i="10"/>
  <c r="J405" i="10"/>
  <c r="K416" i="10" l="1"/>
  <c r="K413" i="10"/>
  <c r="J414" i="10"/>
  <c r="J421" i="10"/>
  <c r="L383" i="10"/>
  <c r="K422" i="10"/>
  <c r="K405" i="10"/>
  <c r="K421" i="10" l="1"/>
  <c r="K414" i="10"/>
  <c r="L413" i="10"/>
  <c r="L416" i="10"/>
  <c r="L405" i="10"/>
  <c r="L422" i="10"/>
  <c r="N383" i="10"/>
  <c r="K419" i="10"/>
  <c r="N422" i="10" l="1"/>
  <c r="N405" i="10"/>
  <c r="L419" i="10"/>
  <c r="N413" i="10"/>
  <c r="N416" i="10"/>
  <c r="O383" i="10"/>
  <c r="L414" i="10"/>
  <c r="L421" i="10"/>
  <c r="N419" i="10" l="1"/>
  <c r="N414" i="10"/>
  <c r="N412" i="10"/>
  <c r="N421" i="10"/>
  <c r="P383" i="10"/>
  <c r="O422" i="10"/>
  <c r="Q383" i="10" l="1"/>
  <c r="P422" i="10"/>
  <c r="P405" i="10"/>
  <c r="P416" i="10"/>
  <c r="P413" i="10"/>
  <c r="P421" i="10" l="1"/>
  <c r="P414" i="10"/>
  <c r="P419" i="10"/>
  <c r="G383" i="10"/>
  <c r="Q422" i="10"/>
  <c r="R422" i="10" l="1"/>
  <c r="G335" i="10" l="1"/>
  <c r="E98" i="10" l="1"/>
  <c r="E101" i="10"/>
  <c r="E95" i="10"/>
  <c r="E57" i="10" l="1"/>
  <c r="E418" i="10"/>
  <c r="E423" i="10" l="1"/>
  <c r="E407" i="10"/>
  <c r="E417" i="10"/>
  <c r="E37" i="10"/>
  <c r="E411" i="10" s="1"/>
  <c r="E413" i="10" l="1"/>
  <c r="E422" i="10"/>
  <c r="E416" i="10"/>
  <c r="E405" i="10"/>
  <c r="E414" i="10" l="1"/>
  <c r="E412" i="10"/>
  <c r="E421" i="10"/>
  <c r="E419" i="10"/>
  <c r="O137" i="10" l="1"/>
  <c r="Q140" i="10"/>
  <c r="Q60" i="10" s="1"/>
  <c r="Q408" i="10" l="1"/>
  <c r="Q418" i="10"/>
  <c r="Q57" i="10"/>
  <c r="O405" i="10"/>
  <c r="G140" i="10"/>
  <c r="G60" i="10" s="1"/>
  <c r="O57" i="10"/>
  <c r="Q137" i="10"/>
  <c r="G137" i="10" s="1"/>
  <c r="G408" i="10" l="1"/>
  <c r="R418" i="10"/>
  <c r="Q423" i="10"/>
  <c r="Q405" i="10"/>
  <c r="O423" i="10"/>
  <c r="O416" i="10"/>
  <c r="O421" i="10" s="1"/>
  <c r="O413" i="10"/>
  <c r="Q413" i="10"/>
  <c r="Q416" i="10"/>
  <c r="R416" i="10" l="1"/>
  <c r="R413" i="10"/>
  <c r="Q419" i="10"/>
  <c r="R423" i="10"/>
  <c r="G405" i="10"/>
  <c r="Q414" i="10"/>
  <c r="Q421" i="10"/>
  <c r="O419" i="10"/>
  <c r="O414" i="10"/>
  <c r="R421" i="10" l="1"/>
  <c r="R414" i="10"/>
  <c r="R419" i="10"/>
</calcChain>
</file>

<file path=xl/sharedStrings.xml><?xml version="1.0" encoding="utf-8"?>
<sst xmlns="http://schemas.openxmlformats.org/spreadsheetml/2006/main" count="549" uniqueCount="129">
  <si>
    <t>Ochrona zdrowia</t>
  </si>
  <si>
    <t>Muzea</t>
  </si>
  <si>
    <t>OGÓŁEM</t>
  </si>
  <si>
    <t>w zł</t>
  </si>
  <si>
    <t>Dział</t>
  </si>
  <si>
    <t>Rozdz.</t>
  </si>
  <si>
    <t>Plan</t>
  </si>
  <si>
    <t>ogółem</t>
  </si>
  <si>
    <t>w tym:</t>
  </si>
  <si>
    <t>010</t>
  </si>
  <si>
    <t>Rolnictwo i łowiectwo</t>
  </si>
  <si>
    <t xml:space="preserve">– gmina </t>
  </si>
  <si>
    <t>01095</t>
  </si>
  <si>
    <t>Pozostała działalność</t>
  </si>
  <si>
    <t>– powiat</t>
  </si>
  <si>
    <t>Administracja publiczna</t>
  </si>
  <si>
    <t>– gmina</t>
  </si>
  <si>
    <t>Urzędy gmin (miast i miast na prawach powiatu)</t>
  </si>
  <si>
    <t>Promocja jednostek samorządu terytorialnego</t>
  </si>
  <si>
    <t>Bezpieczeństwo publiczne i ochrona przeciwpożarowa</t>
  </si>
  <si>
    <t>gmina</t>
  </si>
  <si>
    <t>Oświata i wychowanie</t>
  </si>
  <si>
    <t>Szkoły podstawowe</t>
  </si>
  <si>
    <t>powiat</t>
  </si>
  <si>
    <t>Szkoły podstawowe specjalne</t>
  </si>
  <si>
    <t>Oddziały przedszkolne w szkołach podstawowych</t>
  </si>
  <si>
    <t xml:space="preserve">Przedszkola </t>
  </si>
  <si>
    <t>Przedszkola specjalne</t>
  </si>
  <si>
    <t>Gimnazja</t>
  </si>
  <si>
    <t>Dowożenie uczniów do szkół</t>
  </si>
  <si>
    <t>Zespoły ekonomiczno–administracyjne szkół</t>
  </si>
  <si>
    <t>Gimnazja specjalne</t>
  </si>
  <si>
    <t>Licea ogólnokształcące</t>
  </si>
  <si>
    <t>Licea profilowane</t>
  </si>
  <si>
    <t>Licea profilowane specjalne</t>
  </si>
  <si>
    <t xml:space="preserve">Szkoły zawodowe </t>
  </si>
  <si>
    <t xml:space="preserve">gmina </t>
  </si>
  <si>
    <t>Szkoły zawodowe specjalne</t>
  </si>
  <si>
    <t>Ratownictwo medyczne</t>
  </si>
  <si>
    <t>Programy polityki zdrowotnej</t>
  </si>
  <si>
    <t>Zwalczanie narkomanii</t>
  </si>
  <si>
    <t>Inspekcja sanitarna</t>
  </si>
  <si>
    <t>Przeciwdziałanie alkoholizmowi</t>
  </si>
  <si>
    <t xml:space="preserve">Składki na ubezp. zdrowotne oraz świadczenia dla osób   </t>
  </si>
  <si>
    <t>nie objętych obowiązkiem ubezpieczenia zdrowotnego</t>
  </si>
  <si>
    <t>Izby wytrzeźwień</t>
  </si>
  <si>
    <t xml:space="preserve">dla osób nieobjętych obowiązkiem ubezpieczenia zdrowotnego </t>
  </si>
  <si>
    <t>Pomoc  społeczna</t>
  </si>
  <si>
    <t>Placówki opiekuńczo-wychowawcze</t>
  </si>
  <si>
    <t>85304</t>
  </si>
  <si>
    <t>Rodziny zastępcze</t>
  </si>
  <si>
    <t>Żłobki</t>
  </si>
  <si>
    <t xml:space="preserve">Zasiłki i pomoc w naturze oraz składki na ubezpieczenia </t>
  </si>
  <si>
    <t>społeczne i zdrowotne</t>
  </si>
  <si>
    <t>Domy pomocy społecznej</t>
  </si>
  <si>
    <t>Ośrodki wsparcia</t>
  </si>
  <si>
    <t>Jednostki specjalistycznego poradnictwa, mieszkania chronione i ośrodki interwencji kryzysowej</t>
  </si>
  <si>
    <t>Ośrodki adopcyjno-opiekuńcze</t>
  </si>
  <si>
    <t>Usługi opiekuńcze i specjalistyczne usługi opiekuńcze</t>
  </si>
  <si>
    <t>Pozostałe zadania w zakresie polityki społecznej</t>
  </si>
  <si>
    <t>Rehabilitacja zawodowa i społeczna osób niepełnosprawnych</t>
  </si>
  <si>
    <t>Edukacyjna opieka wychowawcza</t>
  </si>
  <si>
    <t>Ośrodki szkolno – wychowawcze</t>
  </si>
  <si>
    <t>Specjalne ośrodki szkolno – wychowawcze</t>
  </si>
  <si>
    <t>Placówki wychowania pozaszkolnego</t>
  </si>
  <si>
    <t>Internaty i bursy szkolne</t>
  </si>
  <si>
    <t>Domy wczasów dziecięcych</t>
  </si>
  <si>
    <t xml:space="preserve">Kolonie i obozy oraz inne formy wypoczynku dzieci </t>
  </si>
  <si>
    <t>i młodzieży szkolnej, a także szkolenia młodzieży</t>
  </si>
  <si>
    <t>Młodzieżowe ośrodki wychowawcze</t>
  </si>
  <si>
    <t>Gospodarka komunalna i ochrona środowiska</t>
  </si>
  <si>
    <t xml:space="preserve">Kultura i ochrona dziedzictwa narodowego </t>
  </si>
  <si>
    <t>Pozostałe zadania w zakresie kultury</t>
  </si>
  <si>
    <t>Ochrona zabytków i opieka nad zabytkami</t>
  </si>
  <si>
    <t>Obiekty sportowe</t>
  </si>
  <si>
    <t>suma</t>
  </si>
  <si>
    <t>różnica</t>
  </si>
  <si>
    <t>Teatry</t>
  </si>
  <si>
    <t>Instytucje kultury fizycznej</t>
  </si>
  <si>
    <t>Wczesne wspomaganie rozwoju dziecka</t>
  </si>
  <si>
    <t xml:space="preserve">Składki na ubezpieczenie zdrowotne oraz świadczenia </t>
  </si>
  <si>
    <t>Centra kultury i sztuki</t>
  </si>
  <si>
    <t>Dotacja przedmiotowa</t>
  </si>
  <si>
    <t>Działalność usługowa</t>
  </si>
  <si>
    <t>2. Jednostki spoza sektora finansów publicznych</t>
  </si>
  <si>
    <t>suma Działy</t>
  </si>
  <si>
    <t>Inne formy wychowania przedszkolnego</t>
  </si>
  <si>
    <t>Ochorona powietrza atmosferycznego i klimatu</t>
  </si>
  <si>
    <t>Wspieranie rodziny</t>
  </si>
  <si>
    <t>Kluby dziecięce</t>
  </si>
  <si>
    <t>Dzienni opiekunowie</t>
  </si>
  <si>
    <t>Gospodarka ściekowa i ochrona wód</t>
  </si>
  <si>
    <t>Ośrodki pomocy społecznej</t>
  </si>
  <si>
    <t>Ochotnicze straże pożarne</t>
  </si>
  <si>
    <t>Gospodarka odpadami</t>
  </si>
  <si>
    <t>Realizacja zadań wymagających stosowania specjalnej organizacji nauki i metod pracy dla dzieci w przedszkolach, oddziałach przedszkolnych w szkołach podstawowych i innych formach wychowania przedszkolnego</t>
  </si>
  <si>
    <t>Kwalifikacyjne kursy zawodowe</t>
  </si>
  <si>
    <t>Wymiar sprawiedliwości</t>
  </si>
  <si>
    <t>Nieodpłatna pomoc prawna</t>
  </si>
  <si>
    <t>Rodzina</t>
  </si>
  <si>
    <t>Tworzenie i funkcjonowanie żłobków</t>
  </si>
  <si>
    <t>Działalność placówek opiekuńczo-wychowawczych</t>
  </si>
  <si>
    <t>Tworzenie i funkcjonowanie klubów dziecięcych</t>
  </si>
  <si>
    <t>Ogrody botaniczne i zoologiczne oraz naturalne obszary i obiekty chronionej przyrody</t>
  </si>
  <si>
    <t>Szkoły artystyczne</t>
  </si>
  <si>
    <t>Technika</t>
  </si>
  <si>
    <t>Szkoły policealne</t>
  </si>
  <si>
    <t>Branżowe szkoły I i II stopnia</t>
  </si>
  <si>
    <t>Zadania w zakresie przeciwdziałania przemocy w rodzinie</t>
  </si>
  <si>
    <t>Utrzymanie zieleni w miastach i gminach</t>
  </si>
  <si>
    <t>Zarządzanie kryzysowe</t>
  </si>
  <si>
    <t>Zapewnienie uczniom prawa do bezpłatnego dostępu do podręczników, materiałów edukacyjnych lub materiałów ćwiczeniowych</t>
  </si>
  <si>
    <t>System opieki nad dziećmi w wieku do lat 3</t>
  </si>
  <si>
    <t>Centra integracji społecznej</t>
  </si>
  <si>
    <t xml:space="preserve">Dotacja celowa </t>
  </si>
  <si>
    <t xml:space="preserve">Dotacja podmiotowa </t>
  </si>
  <si>
    <t xml:space="preserve">     </t>
  </si>
  <si>
    <t>Ogrody botaniczne, zoologiczne, ośrodki rehabilitacji zwierząt i azyle dla zwierząt</t>
  </si>
  <si>
    <t>Wykonanie 31.12.2023</t>
  </si>
  <si>
    <t>G</t>
  </si>
  <si>
    <t>P</t>
  </si>
  <si>
    <t>Ogółem bz</t>
  </si>
  <si>
    <t>Ogółem unia+inw</t>
  </si>
  <si>
    <t>Licea ogólnokształcące specjalne</t>
  </si>
  <si>
    <t>Realizacja zadań wymagających stosowania specjalnej organizacji nauki i metod pracy dla dzieci i młodzieży w szkołach podstawowych</t>
  </si>
  <si>
    <t>Realizacja zadań wymagających stosowania specjalnej organizacji nauki i metod pracy dla dzieci i młodzieży w gimnazjach, klasach dotychczasowego gimnazjum prowadzonych w szkołach innego typu, liceach ogólnokształcących, technikach, szkołach policealnych, branżowych szkołach I i II stopnia i klasach dotychczasowej zasadniczej szkoły zawodowej prowadzonych w branżowych szkołach I stopnia oraz szkołach artystycznych</t>
  </si>
  <si>
    <t>Ośrodki rewalidacyjno-wychowawcze</t>
  </si>
  <si>
    <t xml:space="preserve">Kultura fizyczna </t>
  </si>
  <si>
    <t xml:space="preserve">Zadania w zakresie kultury fizycznej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</si>
</sst>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###,###"/>
  </numFmts>
  <fonts count="13" x14ac:knownFonts="1">
    <font>
      <sz val="10"/>
      <name val="Arial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i/>
      <sz val="9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indexed="1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CC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86">
    <xf numFmtId="0" fontId="0" fillId="0" borderId="0" xfId="0"/>
    <xf numFmtId="0" fontId="3" fillId="0" borderId="10" xfId="2" applyNumberFormat="1" applyFont="1" applyBorder="1" applyAlignment="1">
      <alignment horizontal="left" vertical="center"/>
    </xf>
    <xf numFmtId="4" fontId="8" fillId="0" borderId="0" xfId="1" applyNumberFormat="1" applyFont="1" applyFill="1" applyBorder="1" applyAlignment="1">
      <alignment vertical="center"/>
    </xf>
    <xf numFmtId="1" fontId="6" fillId="0" borderId="8" xfId="1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vertical="center"/>
    </xf>
    <xf numFmtId="1" fontId="8" fillId="0" borderId="0" xfId="1" applyNumberFormat="1" applyFont="1" applyFill="1" applyBorder="1" applyAlignment="1">
      <alignment vertical="center"/>
    </xf>
    <xf numFmtId="4" fontId="8" fillId="0" borderId="5" xfId="1" applyNumberFormat="1" applyFont="1" applyFill="1" applyBorder="1" applyAlignment="1">
      <alignment horizontal="center" vertical="center"/>
    </xf>
    <xf numFmtId="1" fontId="7" fillId="0" borderId="10" xfId="1" applyNumberFormat="1" applyFont="1" applyFill="1" applyBorder="1" applyAlignment="1">
      <alignment vertical="center"/>
    </xf>
    <xf numFmtId="4" fontId="7" fillId="0" borderId="10" xfId="1" applyNumberFormat="1" applyFont="1" applyFill="1" applyBorder="1" applyAlignment="1">
      <alignment vertical="center"/>
    </xf>
    <xf numFmtId="1" fontId="7" fillId="0" borderId="12" xfId="1" applyNumberFormat="1" applyFont="1" applyFill="1" applyBorder="1" applyAlignment="1">
      <alignment horizontal="center" vertical="center"/>
    </xf>
    <xf numFmtId="4" fontId="7" fillId="0" borderId="12" xfId="1" applyNumberFormat="1" applyFont="1" applyFill="1" applyBorder="1" applyAlignment="1">
      <alignment horizontal="center" vertical="center"/>
    </xf>
    <xf numFmtId="1" fontId="7" fillId="0" borderId="7" xfId="1" applyNumberFormat="1" applyFont="1" applyFill="1" applyBorder="1" applyAlignment="1">
      <alignment horizontal="center" vertical="center"/>
    </xf>
    <xf numFmtId="1" fontId="8" fillId="0" borderId="12" xfId="1" quotePrefix="1" applyNumberFormat="1" applyFont="1" applyFill="1" applyBorder="1" applyAlignment="1">
      <alignment horizontal="center" vertical="center"/>
    </xf>
    <xf numFmtId="1" fontId="7" fillId="0" borderId="12" xfId="1" quotePrefix="1" applyNumberFormat="1" applyFont="1" applyFill="1" applyBorder="1" applyAlignment="1">
      <alignment horizontal="center" vertical="center"/>
    </xf>
    <xf numFmtId="1" fontId="8" fillId="0" borderId="1" xfId="2" applyNumberFormat="1" applyFont="1" applyBorder="1" applyAlignment="1">
      <alignment horizontal="left" vertical="center"/>
    </xf>
    <xf numFmtId="4" fontId="8" fillId="0" borderId="1" xfId="0" applyNumberFormat="1" applyFont="1" applyBorder="1" applyAlignment="1">
      <alignment horizontal="left" vertical="center"/>
    </xf>
    <xf numFmtId="4" fontId="8" fillId="0" borderId="1" xfId="1" applyNumberFormat="1" applyFont="1" applyFill="1" applyBorder="1" applyAlignment="1">
      <alignment horizontal="right" vertical="center"/>
    </xf>
    <xf numFmtId="4" fontId="9" fillId="4" borderId="12" xfId="1" applyNumberFormat="1" applyFont="1" applyFill="1" applyBorder="1" applyAlignment="1">
      <alignment vertical="center"/>
    </xf>
    <xf numFmtId="4" fontId="7" fillId="0" borderId="12" xfId="1" applyNumberFormat="1" applyFont="1" applyFill="1" applyBorder="1" applyAlignment="1">
      <alignment vertical="center"/>
    </xf>
    <xf numFmtId="1" fontId="9" fillId="0" borderId="12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vertical="center"/>
    </xf>
    <xf numFmtId="4" fontId="7" fillId="0" borderId="1" xfId="1" applyNumberFormat="1" applyFont="1" applyFill="1" applyBorder="1" applyAlignment="1">
      <alignment horizontal="right" vertical="center"/>
    </xf>
    <xf numFmtId="1" fontId="7" fillId="0" borderId="2" xfId="1" applyNumberFormat="1" applyFont="1" applyFill="1" applyBorder="1" applyAlignment="1">
      <alignment horizontal="center" vertical="center"/>
    </xf>
    <xf numFmtId="4" fontId="7" fillId="0" borderId="2" xfId="0" quotePrefix="1" applyNumberFormat="1" applyFont="1" applyFill="1" applyBorder="1" applyAlignment="1">
      <alignment vertical="center"/>
    </xf>
    <xf numFmtId="4" fontId="7" fillId="0" borderId="2" xfId="1" applyNumberFormat="1" applyFont="1" applyFill="1" applyBorder="1" applyAlignment="1">
      <alignment horizontal="right" vertical="center"/>
    </xf>
    <xf numFmtId="1" fontId="7" fillId="0" borderId="1" xfId="2" applyNumberFormat="1" applyFont="1" applyBorder="1" applyAlignment="1">
      <alignment horizontal="left" vertical="center"/>
    </xf>
    <xf numFmtId="4" fontId="7" fillId="0" borderId="1" xfId="0" applyNumberFormat="1" applyFont="1" applyBorder="1" applyAlignment="1">
      <alignment horizontal="left" vertical="center"/>
    </xf>
    <xf numFmtId="4" fontId="7" fillId="0" borderId="1" xfId="0" quotePrefix="1" applyNumberFormat="1" applyFont="1" applyFill="1" applyBorder="1" applyAlignment="1">
      <alignment vertical="center"/>
    </xf>
    <xf numFmtId="4" fontId="7" fillId="0" borderId="12" xfId="1" applyNumberFormat="1" applyFont="1" applyFill="1" applyBorder="1" applyAlignment="1">
      <alignment horizontal="right" vertical="center"/>
    </xf>
    <xf numFmtId="1" fontId="9" fillId="0" borderId="13" xfId="1" applyNumberFormat="1" applyFont="1" applyFill="1" applyBorder="1" applyAlignment="1">
      <alignment horizontal="center" vertical="center"/>
    </xf>
    <xf numFmtId="1" fontId="7" fillId="0" borderId="13" xfId="1" applyNumberFormat="1" applyFont="1" applyFill="1" applyBorder="1" applyAlignment="1">
      <alignment horizontal="center" vertical="center"/>
    </xf>
    <xf numFmtId="1" fontId="7" fillId="0" borderId="14" xfId="1" applyNumberFormat="1" applyFont="1" applyFill="1" applyBorder="1" applyAlignment="1">
      <alignment horizontal="center" vertical="center"/>
    </xf>
    <xf numFmtId="4" fontId="7" fillId="0" borderId="14" xfId="1" applyNumberFormat="1" applyFont="1" applyFill="1" applyBorder="1" applyAlignment="1">
      <alignment horizontal="center" vertical="center"/>
    </xf>
    <xf numFmtId="1" fontId="8" fillId="0" borderId="12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left" vertical="center"/>
    </xf>
    <xf numFmtId="4" fontId="8" fillId="0" borderId="1" xfId="0" applyNumberFormat="1" applyFont="1" applyBorder="1" applyAlignment="1">
      <alignment horizontal="right" vertical="center"/>
    </xf>
    <xf numFmtId="1" fontId="7" fillId="0" borderId="12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right" vertical="center"/>
    </xf>
    <xf numFmtId="1" fontId="7" fillId="0" borderId="10" xfId="0" applyNumberFormat="1" applyFont="1" applyBorder="1" applyAlignment="1">
      <alignment horizontal="center" vertical="center"/>
    </xf>
    <xf numFmtId="1" fontId="7" fillId="0" borderId="11" xfId="0" applyNumberFormat="1" applyFont="1" applyBorder="1" applyAlignment="1">
      <alignment horizontal="left" vertical="center"/>
    </xf>
    <xf numFmtId="4" fontId="7" fillId="0" borderId="11" xfId="0" applyNumberFormat="1" applyFont="1" applyBorder="1" applyAlignment="1">
      <alignment horizontal="left" vertical="center"/>
    </xf>
    <xf numFmtId="4" fontId="7" fillId="0" borderId="11" xfId="0" applyNumberFormat="1" applyFont="1" applyBorder="1" applyAlignment="1">
      <alignment horizontal="right" vertical="center"/>
    </xf>
    <xf numFmtId="1" fontId="9" fillId="0" borderId="12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right" vertical="center"/>
    </xf>
    <xf numFmtId="1" fontId="8" fillId="0" borderId="10" xfId="1" applyNumberFormat="1" applyFont="1" applyFill="1" applyBorder="1" applyAlignment="1">
      <alignment horizontal="center" vertical="center"/>
    </xf>
    <xf numFmtId="1" fontId="9" fillId="0" borderId="11" xfId="1" applyNumberFormat="1" applyFont="1" applyFill="1" applyBorder="1" applyAlignment="1">
      <alignment horizontal="right" vertical="center"/>
    </xf>
    <xf numFmtId="1" fontId="8" fillId="0" borderId="10" xfId="2" applyNumberFormat="1" applyFont="1" applyBorder="1" applyAlignment="1">
      <alignment horizontal="left" vertical="center"/>
    </xf>
    <xf numFmtId="4" fontId="8" fillId="0" borderId="11" xfId="2" applyNumberFormat="1" applyFont="1" applyBorder="1" applyAlignment="1">
      <alignment horizontal="left" vertical="center"/>
    </xf>
    <xf numFmtId="4" fontId="8" fillId="4" borderId="10" xfId="2" applyNumberFormat="1" applyFont="1" applyFill="1" applyBorder="1" applyAlignment="1">
      <alignment vertical="center"/>
    </xf>
    <xf numFmtId="4" fontId="8" fillId="0" borderId="12" xfId="1" applyNumberFormat="1" applyFont="1" applyFill="1" applyBorder="1" applyAlignment="1">
      <alignment vertical="center"/>
    </xf>
    <xf numFmtId="1" fontId="9" fillId="0" borderId="12" xfId="1" applyNumberFormat="1" applyFont="1" applyFill="1" applyBorder="1" applyAlignment="1">
      <alignment horizontal="right" vertical="center"/>
    </xf>
    <xf numFmtId="1" fontId="9" fillId="0" borderId="1" xfId="1" applyNumberFormat="1" applyFont="1" applyFill="1" applyBorder="1" applyAlignment="1">
      <alignment horizontal="right" vertical="center"/>
    </xf>
    <xf numFmtId="1" fontId="7" fillId="0" borderId="12" xfId="2" applyNumberFormat="1" applyFont="1" applyBorder="1" applyAlignment="1">
      <alignment horizontal="center" vertical="center"/>
    </xf>
    <xf numFmtId="4" fontId="7" fillId="0" borderId="1" xfId="2" applyNumberFormat="1" applyFont="1" applyBorder="1" applyAlignment="1">
      <alignment vertical="center"/>
    </xf>
    <xf numFmtId="4" fontId="7" fillId="0" borderId="12" xfId="2" applyNumberFormat="1" applyFont="1" applyBorder="1" applyAlignment="1">
      <alignment vertical="center"/>
    </xf>
    <xf numFmtId="4" fontId="7" fillId="4" borderId="12" xfId="2" applyNumberFormat="1" applyFont="1" applyFill="1" applyBorder="1" applyAlignment="1">
      <alignment horizontal="center" vertical="center"/>
    </xf>
    <xf numFmtId="4" fontId="7" fillId="0" borderId="12" xfId="2" quotePrefix="1" applyNumberFormat="1" applyFont="1" applyBorder="1" applyAlignment="1">
      <alignment vertical="center"/>
    </xf>
    <xf numFmtId="4" fontId="7" fillId="4" borderId="1" xfId="2" applyNumberFormat="1" applyFont="1" applyFill="1" applyBorder="1" applyAlignment="1">
      <alignment horizontal="right" vertical="center"/>
    </xf>
    <xf numFmtId="1" fontId="9" fillId="0" borderId="7" xfId="1" applyNumberFormat="1" applyFont="1" applyFill="1" applyBorder="1" applyAlignment="1">
      <alignment horizontal="right" vertical="center"/>
    </xf>
    <xf numFmtId="1" fontId="7" fillId="0" borderId="7" xfId="2" applyNumberFormat="1" applyFont="1" applyBorder="1" applyAlignment="1">
      <alignment horizontal="center" vertical="center"/>
    </xf>
    <xf numFmtId="4" fontId="7" fillId="0" borderId="7" xfId="2" quotePrefix="1" applyNumberFormat="1" applyFont="1" applyBorder="1" applyAlignment="1">
      <alignment vertical="center"/>
    </xf>
    <xf numFmtId="4" fontId="7" fillId="4" borderId="2" xfId="2" applyNumberFormat="1" applyFont="1" applyFill="1" applyBorder="1" applyAlignment="1">
      <alignment horizontal="center" vertical="center"/>
    </xf>
    <xf numFmtId="1" fontId="7" fillId="0" borderId="12" xfId="2" applyNumberFormat="1" applyFont="1" applyBorder="1" applyAlignment="1">
      <alignment horizontal="left" vertical="center"/>
    </xf>
    <xf numFmtId="4" fontId="7" fillId="0" borderId="1" xfId="2" applyNumberFormat="1" applyFont="1" applyBorder="1" applyAlignment="1">
      <alignment horizontal="left" vertical="center"/>
    </xf>
    <xf numFmtId="1" fontId="7" fillId="0" borderId="1" xfId="1" applyNumberFormat="1" applyFont="1" applyFill="1" applyBorder="1" applyAlignment="1">
      <alignment horizontal="right" vertical="center"/>
    </xf>
    <xf numFmtId="4" fontId="7" fillId="4" borderId="1" xfId="2" applyNumberFormat="1" applyFont="1" applyFill="1" applyBorder="1" applyAlignment="1">
      <alignment horizontal="center" vertical="center"/>
    </xf>
    <xf numFmtId="1" fontId="7" fillId="0" borderId="12" xfId="1" applyNumberFormat="1" applyFont="1" applyFill="1" applyBorder="1" applyAlignment="1">
      <alignment horizontal="right" vertical="center"/>
    </xf>
    <xf numFmtId="1" fontId="7" fillId="0" borderId="7" xfId="1" applyNumberFormat="1" applyFont="1" applyFill="1" applyBorder="1" applyAlignment="1">
      <alignment horizontal="right" vertical="center"/>
    </xf>
    <xf numFmtId="4" fontId="7" fillId="0" borderId="2" xfId="1" quotePrefix="1" applyNumberFormat="1" applyFont="1" applyFill="1" applyBorder="1" applyAlignment="1">
      <alignment vertical="center"/>
    </xf>
    <xf numFmtId="1" fontId="7" fillId="0" borderId="10" xfId="1" applyNumberFormat="1" applyFont="1" applyFill="1" applyBorder="1" applyAlignment="1">
      <alignment horizontal="center" vertical="center"/>
    </xf>
    <xf numFmtId="1" fontId="7" fillId="0" borderId="10" xfId="2" applyNumberFormat="1" applyFont="1" applyBorder="1" applyAlignment="1">
      <alignment horizontal="left" vertical="center"/>
    </xf>
    <xf numFmtId="4" fontId="7" fillId="0" borderId="11" xfId="2" applyNumberFormat="1" applyFont="1" applyBorder="1" applyAlignment="1">
      <alignment horizontal="left" vertical="center"/>
    </xf>
    <xf numFmtId="4" fontId="7" fillId="4" borderId="11" xfId="2" applyNumberFormat="1" applyFont="1" applyFill="1" applyBorder="1" applyAlignment="1">
      <alignment horizontal="right" vertical="center"/>
    </xf>
    <xf numFmtId="4" fontId="7" fillId="0" borderId="10" xfId="1" applyNumberFormat="1" applyFont="1" applyFill="1" applyBorder="1" applyAlignment="1">
      <alignment horizontal="right" vertical="center"/>
    </xf>
    <xf numFmtId="1" fontId="7" fillId="0" borderId="1" xfId="2" applyNumberFormat="1" applyFont="1" applyBorder="1" applyAlignment="1">
      <alignment horizontal="center" vertical="center"/>
    </xf>
    <xf numFmtId="4" fontId="7" fillId="4" borderId="12" xfId="1" applyNumberFormat="1" applyFont="1" applyFill="1" applyBorder="1" applyAlignment="1">
      <alignment vertical="center"/>
    </xf>
    <xf numFmtId="1" fontId="9" fillId="0" borderId="13" xfId="1" applyNumberFormat="1" applyFont="1" applyFill="1" applyBorder="1" applyAlignment="1">
      <alignment horizontal="right" vertical="center"/>
    </xf>
    <xf numFmtId="1" fontId="9" fillId="0" borderId="14" xfId="1" applyNumberFormat="1" applyFont="1" applyFill="1" applyBorder="1" applyAlignment="1">
      <alignment horizontal="right" vertical="center"/>
    </xf>
    <xf numFmtId="4" fontId="9" fillId="0" borderId="14" xfId="1" applyNumberFormat="1" applyFont="1" applyFill="1" applyBorder="1" applyAlignment="1">
      <alignment horizontal="right" vertical="center"/>
    </xf>
    <xf numFmtId="1" fontId="8" fillId="0" borderId="12" xfId="1" applyNumberFormat="1" applyFont="1" applyFill="1" applyBorder="1" applyAlignment="1">
      <alignment horizontal="center" vertical="center"/>
    </xf>
    <xf numFmtId="4" fontId="8" fillId="0" borderId="1" xfId="2" applyNumberFormat="1" applyFont="1" applyBorder="1" applyAlignment="1">
      <alignment horizontal="left" vertical="center"/>
    </xf>
    <xf numFmtId="4" fontId="8" fillId="4" borderId="16" xfId="1" applyNumberFormat="1" applyFont="1" applyFill="1" applyBorder="1" applyAlignment="1">
      <alignment horizontal="right" vertical="center"/>
    </xf>
    <xf numFmtId="4" fontId="8" fillId="0" borderId="16" xfId="1" applyNumberFormat="1" applyFont="1" applyFill="1" applyBorder="1" applyAlignment="1">
      <alignment vertical="center"/>
    </xf>
    <xf numFmtId="4" fontId="7" fillId="0" borderId="1" xfId="1" quotePrefix="1" applyNumberFormat="1" applyFont="1" applyFill="1" applyBorder="1" applyAlignment="1">
      <alignment vertical="center"/>
    </xf>
    <xf numFmtId="4" fontId="7" fillId="4" borderId="12" xfId="1" applyNumberFormat="1" applyFont="1" applyFill="1" applyBorder="1" applyAlignment="1">
      <alignment horizontal="right" vertical="center"/>
    </xf>
    <xf numFmtId="1" fontId="7" fillId="0" borderId="2" xfId="2" applyNumberFormat="1" applyFont="1" applyBorder="1" applyAlignment="1">
      <alignment horizontal="left" vertical="center"/>
    </xf>
    <xf numFmtId="4" fontId="7" fillId="4" borderId="7" xfId="1" applyNumberFormat="1" applyFont="1" applyFill="1" applyBorder="1" applyAlignment="1">
      <alignment horizontal="right" vertical="center"/>
    </xf>
    <xf numFmtId="4" fontId="7" fillId="0" borderId="7" xfId="1" applyNumberFormat="1" applyFont="1" applyFill="1" applyBorder="1" applyAlignment="1">
      <alignment vertical="center"/>
    </xf>
    <xf numFmtId="1" fontId="7" fillId="0" borderId="11" xfId="2" applyNumberFormat="1" applyFont="1" applyBorder="1" applyAlignment="1">
      <alignment horizontal="left" vertical="center"/>
    </xf>
    <xf numFmtId="4" fontId="7" fillId="0" borderId="11" xfId="1" quotePrefix="1" applyNumberFormat="1" applyFont="1" applyFill="1" applyBorder="1" applyAlignment="1">
      <alignment vertical="center"/>
    </xf>
    <xf numFmtId="4" fontId="7" fillId="0" borderId="11" xfId="1" quotePrefix="1" applyNumberFormat="1" applyFont="1" applyFill="1" applyBorder="1" applyAlignment="1">
      <alignment horizontal="left" vertical="center"/>
    </xf>
    <xf numFmtId="4" fontId="7" fillId="0" borderId="1" xfId="1" quotePrefix="1" applyNumberFormat="1" applyFont="1" applyFill="1" applyBorder="1" applyAlignment="1">
      <alignment horizontal="left" vertical="center"/>
    </xf>
    <xf numFmtId="1" fontId="8" fillId="0" borderId="16" xfId="1" applyNumberFormat="1" applyFont="1" applyFill="1" applyBorder="1" applyAlignment="1">
      <alignment horizontal="center" vertical="center"/>
    </xf>
    <xf numFmtId="1" fontId="9" fillId="0" borderId="16" xfId="1" applyNumberFormat="1" applyFont="1" applyFill="1" applyBorder="1" applyAlignment="1">
      <alignment horizontal="right" vertical="center"/>
    </xf>
    <xf numFmtId="1" fontId="8" fillId="0" borderId="17" xfId="2" applyNumberFormat="1" applyFont="1" applyBorder="1" applyAlignment="1">
      <alignment horizontal="left" vertical="center"/>
    </xf>
    <xf numFmtId="4" fontId="8" fillId="0" borderId="17" xfId="1" applyNumberFormat="1" applyFont="1" applyFill="1" applyBorder="1" applyAlignment="1">
      <alignment horizontal="left" vertical="center"/>
    </xf>
    <xf numFmtId="4" fontId="9" fillId="0" borderId="1" xfId="1" applyNumberFormat="1" applyFont="1" applyFill="1" applyBorder="1" applyAlignment="1">
      <alignment horizontal="left" vertical="center"/>
    </xf>
    <xf numFmtId="4" fontId="7" fillId="0" borderId="1" xfId="1" applyNumberFormat="1" applyFont="1" applyFill="1" applyBorder="1" applyAlignment="1">
      <alignment horizontal="left" vertical="center"/>
    </xf>
    <xf numFmtId="4" fontId="8" fillId="0" borderId="11" xfId="1" applyNumberFormat="1" applyFont="1" applyFill="1" applyBorder="1" applyAlignment="1">
      <alignment horizontal="left" vertical="center"/>
    </xf>
    <xf numFmtId="1" fontId="8" fillId="0" borderId="1" xfId="1" applyNumberFormat="1" applyFont="1" applyFill="1" applyBorder="1" applyAlignment="1">
      <alignment horizontal="center" vertical="center"/>
    </xf>
    <xf numFmtId="1" fontId="8" fillId="0" borderId="1" xfId="1" applyNumberFormat="1" applyFont="1" applyFill="1" applyBorder="1" applyAlignment="1">
      <alignment vertical="center"/>
    </xf>
    <xf numFmtId="4" fontId="9" fillId="0" borderId="1" xfId="1" applyNumberFormat="1" applyFont="1" applyFill="1" applyBorder="1" applyAlignment="1">
      <alignment vertical="center"/>
    </xf>
    <xf numFmtId="1" fontId="7" fillId="0" borderId="1" xfId="1" applyNumberFormat="1" applyFont="1" applyFill="1" applyBorder="1" applyAlignment="1">
      <alignment vertical="center"/>
    </xf>
    <xf numFmtId="4" fontId="7" fillId="0" borderId="1" xfId="1" applyNumberFormat="1" applyFont="1" applyFill="1" applyBorder="1" applyAlignment="1">
      <alignment vertical="center"/>
    </xf>
    <xf numFmtId="1" fontId="7" fillId="0" borderId="12" xfId="1" applyNumberFormat="1" applyFont="1" applyFill="1" applyBorder="1" applyAlignment="1">
      <alignment vertical="center"/>
    </xf>
    <xf numFmtId="1" fontId="8" fillId="0" borderId="2" xfId="1" applyNumberFormat="1" applyFont="1" applyFill="1" applyBorder="1" applyAlignment="1">
      <alignment horizontal="center" vertical="center"/>
    </xf>
    <xf numFmtId="1" fontId="8" fillId="0" borderId="2" xfId="1" applyNumberFormat="1" applyFont="1" applyFill="1" applyBorder="1" applyAlignment="1">
      <alignment vertical="center"/>
    </xf>
    <xf numFmtId="1" fontId="7" fillId="0" borderId="1" xfId="1" quotePrefix="1" applyNumberFormat="1" applyFont="1" applyFill="1" applyBorder="1" applyAlignment="1">
      <alignment horizontal="center" vertical="center"/>
    </xf>
    <xf numFmtId="1" fontId="8" fillId="0" borderId="1" xfId="1" quotePrefix="1" applyNumberFormat="1" applyFont="1" applyFill="1" applyBorder="1" applyAlignment="1">
      <alignment horizontal="center" vertical="center"/>
    </xf>
    <xf numFmtId="1" fontId="8" fillId="0" borderId="7" xfId="1" quotePrefix="1" applyNumberFormat="1" applyFont="1" applyFill="1" applyBorder="1" applyAlignment="1">
      <alignment horizontal="center" vertical="center"/>
    </xf>
    <xf numFmtId="4" fontId="7" fillId="0" borderId="11" xfId="1" applyNumberFormat="1" applyFont="1" applyFill="1" applyBorder="1" applyAlignment="1">
      <alignment horizontal="left" vertical="center"/>
    </xf>
    <xf numFmtId="1" fontId="7" fillId="0" borderId="10" xfId="1" quotePrefix="1" applyNumberFormat="1" applyFont="1" applyFill="1" applyBorder="1" applyAlignment="1">
      <alignment horizontal="center" vertical="center"/>
    </xf>
    <xf numFmtId="1" fontId="7" fillId="0" borderId="11" xfId="1" applyNumberFormat="1" applyFont="1" applyFill="1" applyBorder="1" applyAlignment="1">
      <alignment vertical="center"/>
    </xf>
    <xf numFmtId="4" fontId="7" fillId="0" borderId="10" xfId="1" applyNumberFormat="1" applyFont="1" applyFill="1" applyBorder="1" applyAlignment="1">
      <alignment horizontal="left" vertical="center"/>
    </xf>
    <xf numFmtId="4" fontId="7" fillId="0" borderId="12" xfId="1" quotePrefix="1" applyNumberFormat="1" applyFont="1" applyFill="1" applyBorder="1" applyAlignment="1">
      <alignment vertical="center"/>
    </xf>
    <xf numFmtId="4" fontId="7" fillId="0" borderId="11" xfId="1" applyNumberFormat="1" applyFont="1" applyFill="1" applyBorder="1" applyAlignment="1">
      <alignment vertical="center"/>
    </xf>
    <xf numFmtId="1" fontId="7" fillId="0" borderId="2" xfId="1" quotePrefix="1" applyNumberFormat="1" applyFont="1" applyFill="1" applyBorder="1" applyAlignment="1">
      <alignment horizontal="center" vertical="center"/>
    </xf>
    <xf numFmtId="1" fontId="7" fillId="0" borderId="2" xfId="1" applyNumberFormat="1" applyFont="1" applyFill="1" applyBorder="1" applyAlignment="1">
      <alignment vertical="center"/>
    </xf>
    <xf numFmtId="1" fontId="8" fillId="0" borderId="7" xfId="1" applyNumberFormat="1" applyFont="1" applyFill="1" applyBorder="1" applyAlignment="1">
      <alignment horizontal="center" vertical="center"/>
    </xf>
    <xf numFmtId="1" fontId="7" fillId="0" borderId="11" xfId="1" applyNumberFormat="1" applyFont="1" applyFill="1" applyBorder="1" applyAlignment="1">
      <alignment horizontal="center" vertical="center"/>
    </xf>
    <xf numFmtId="4" fontId="7" fillId="4" borderId="10" xfId="1" applyNumberFormat="1" applyFont="1" applyFill="1" applyBorder="1" applyAlignment="1">
      <alignment horizontal="right" vertical="center"/>
    </xf>
    <xf numFmtId="4" fontId="7" fillId="0" borderId="7" xfId="1" quotePrefix="1" applyNumberFormat="1" applyFont="1" applyFill="1" applyBorder="1" applyAlignment="1">
      <alignment vertical="center"/>
    </xf>
    <xf numFmtId="1" fontId="7" fillId="0" borderId="11" xfId="1" applyNumberFormat="1" applyFont="1" applyFill="1" applyBorder="1" applyAlignment="1">
      <alignment vertical="center" wrapText="1"/>
    </xf>
    <xf numFmtId="4" fontId="9" fillId="4" borderId="11" xfId="1" applyNumberFormat="1" applyFont="1" applyFill="1" applyBorder="1" applyAlignment="1">
      <alignment vertical="center"/>
    </xf>
    <xf numFmtId="4" fontId="9" fillId="4" borderId="1" xfId="1" applyNumberFormat="1" applyFont="1" applyFill="1" applyBorder="1" applyAlignment="1">
      <alignment vertical="center"/>
    </xf>
    <xf numFmtId="1" fontId="7" fillId="0" borderId="17" xfId="1" applyNumberFormat="1" applyFont="1" applyFill="1" applyBorder="1" applyAlignment="1">
      <alignment horizontal="center" vertical="center"/>
    </xf>
    <xf numFmtId="1" fontId="8" fillId="0" borderId="17" xfId="1" applyNumberFormat="1" applyFont="1" applyFill="1" applyBorder="1" applyAlignment="1">
      <alignment vertical="center"/>
    </xf>
    <xf numFmtId="4" fontId="8" fillId="0" borderId="17" xfId="1" applyNumberFormat="1" applyFont="1" applyFill="1" applyBorder="1" applyAlignment="1">
      <alignment vertical="center"/>
    </xf>
    <xf numFmtId="4" fontId="9" fillId="0" borderId="12" xfId="1" applyNumberFormat="1" applyFont="1" applyFill="1" applyBorder="1" applyAlignment="1">
      <alignment horizontal="left" vertical="center"/>
    </xf>
    <xf numFmtId="1" fontId="10" fillId="0" borderId="1" xfId="1" applyNumberFormat="1" applyFont="1" applyFill="1" applyBorder="1" applyAlignment="1">
      <alignment vertical="center"/>
    </xf>
    <xf numFmtId="1" fontId="10" fillId="0" borderId="12" xfId="1" applyNumberFormat="1" applyFont="1" applyFill="1" applyBorder="1" applyAlignment="1">
      <alignment horizontal="center" vertical="center"/>
    </xf>
    <xf numFmtId="1" fontId="9" fillId="0" borderId="1" xfId="1" applyNumberFormat="1" applyFont="1" applyFill="1" applyBorder="1" applyAlignment="1">
      <alignment horizontal="center" vertical="center"/>
    </xf>
    <xf numFmtId="4" fontId="7" fillId="0" borderId="12" xfId="1" applyNumberFormat="1" applyFont="1" applyFill="1" applyBorder="1" applyAlignment="1">
      <alignment horizontal="left" vertical="center"/>
    </xf>
    <xf numFmtId="1" fontId="7" fillId="0" borderId="0" xfId="1" applyNumberFormat="1" applyFont="1" applyFill="1" applyBorder="1" applyAlignment="1">
      <alignment vertical="center"/>
    </xf>
    <xf numFmtId="1" fontId="7" fillId="0" borderId="3" xfId="1" applyNumberFormat="1" applyFont="1" applyFill="1" applyBorder="1" applyAlignment="1">
      <alignment horizontal="center" vertical="center"/>
    </xf>
    <xf numFmtId="1" fontId="7" fillId="0" borderId="18" xfId="1" applyNumberFormat="1" applyFont="1" applyFill="1" applyBorder="1" applyAlignment="1">
      <alignment vertical="center"/>
    </xf>
    <xf numFmtId="1" fontId="7" fillId="0" borderId="5" xfId="1" applyNumberFormat="1" applyFont="1" applyFill="1" applyBorder="1" applyAlignment="1">
      <alignment vertical="center"/>
    </xf>
    <xf numFmtId="1" fontId="7" fillId="0" borderId="10" xfId="1" applyNumberFormat="1" applyFont="1" applyBorder="1" applyAlignment="1">
      <alignment horizontal="center" vertical="center"/>
    </xf>
    <xf numFmtId="1" fontId="7" fillId="0" borderId="10" xfId="1" applyNumberFormat="1" applyFont="1" applyBorder="1" applyAlignment="1">
      <alignment vertical="center"/>
    </xf>
    <xf numFmtId="1" fontId="7" fillId="0" borderId="12" xfId="1" applyNumberFormat="1" applyFont="1" applyBorder="1" applyAlignment="1">
      <alignment horizontal="center" vertical="center"/>
    </xf>
    <xf numFmtId="1" fontId="7" fillId="0" borderId="0" xfId="1" applyNumberFormat="1" applyFont="1" applyBorder="1" applyAlignment="1">
      <alignment vertical="center"/>
    </xf>
    <xf numFmtId="1" fontId="7" fillId="0" borderId="18" xfId="1" applyNumberFormat="1" applyFont="1" applyBorder="1" applyAlignment="1">
      <alignment vertical="center" wrapText="1"/>
    </xf>
    <xf numFmtId="1" fontId="8" fillId="0" borderId="0" xfId="1" applyNumberFormat="1" applyFont="1" applyBorder="1" applyAlignment="1">
      <alignment vertical="center"/>
    </xf>
    <xf numFmtId="1" fontId="7" fillId="0" borderId="11" xfId="1" applyNumberFormat="1" applyFont="1" applyBorder="1" applyAlignment="1">
      <alignment vertical="center"/>
    </xf>
    <xf numFmtId="4" fontId="7" fillId="0" borderId="10" xfId="1" quotePrefix="1" applyNumberFormat="1" applyFont="1" applyFill="1" applyBorder="1" applyAlignment="1">
      <alignment vertical="center"/>
    </xf>
    <xf numFmtId="1" fontId="7" fillId="0" borderId="21" xfId="1" applyNumberFormat="1" applyFont="1" applyFill="1" applyBorder="1" applyAlignment="1">
      <alignment horizontal="center" vertical="center"/>
    </xf>
    <xf numFmtId="1" fontId="7" fillId="0" borderId="22" xfId="1" applyNumberFormat="1" applyFont="1" applyFill="1" applyBorder="1" applyAlignment="1">
      <alignment vertical="center"/>
    </xf>
    <xf numFmtId="4" fontId="7" fillId="0" borderId="13" xfId="1" quotePrefix="1" applyNumberFormat="1" applyFont="1" applyFill="1" applyBorder="1" applyAlignment="1">
      <alignment vertical="center"/>
    </xf>
    <xf numFmtId="1" fontId="8" fillId="0" borderId="19" xfId="1" applyNumberFormat="1" applyFont="1" applyFill="1" applyBorder="1" applyAlignment="1">
      <alignment horizontal="center" vertical="center"/>
    </xf>
    <xf numFmtId="1" fontId="8" fillId="0" borderId="20" xfId="1" applyNumberFormat="1" applyFont="1" applyFill="1" applyBorder="1" applyAlignment="1">
      <alignment vertical="center"/>
    </xf>
    <xf numFmtId="4" fontId="8" fillId="0" borderId="16" xfId="1" applyNumberFormat="1" applyFont="1" applyFill="1" applyBorder="1" applyAlignment="1">
      <alignment horizontal="left" vertical="center"/>
    </xf>
    <xf numFmtId="1" fontId="7" fillId="0" borderId="18" xfId="1" applyNumberFormat="1" applyFont="1" applyFill="1" applyBorder="1" applyAlignment="1">
      <alignment vertical="center" wrapText="1"/>
    </xf>
    <xf numFmtId="1" fontId="7" fillId="0" borderId="16" xfId="1" applyNumberFormat="1" applyFont="1" applyFill="1" applyBorder="1" applyAlignment="1">
      <alignment horizontal="center" vertical="center"/>
    </xf>
    <xf numFmtId="4" fontId="7" fillId="5" borderId="2" xfId="1" applyNumberFormat="1" applyFont="1" applyFill="1" applyBorder="1" applyAlignment="1">
      <alignment horizontal="right" vertical="center"/>
    </xf>
    <xf numFmtId="1" fontId="7" fillId="0" borderId="18" xfId="1" applyNumberFormat="1" applyFont="1" applyBorder="1" applyAlignment="1">
      <alignment vertical="center"/>
    </xf>
    <xf numFmtId="4" fontId="8" fillId="0" borderId="16" xfId="1" quotePrefix="1" applyNumberFormat="1" applyFont="1" applyFill="1" applyBorder="1" applyAlignment="1">
      <alignment vertical="center"/>
    </xf>
    <xf numFmtId="1" fontId="7" fillId="0" borderId="4" xfId="1" applyNumberFormat="1" applyFont="1" applyFill="1" applyBorder="1" applyAlignment="1">
      <alignment horizontal="center" vertical="center"/>
    </xf>
    <xf numFmtId="1" fontId="8" fillId="0" borderId="18" xfId="1" applyNumberFormat="1" applyFont="1" applyFill="1" applyBorder="1" applyAlignment="1">
      <alignment horizontal="center" vertical="center"/>
    </xf>
    <xf numFmtId="4" fontId="8" fillId="0" borderId="11" xfId="1" applyNumberFormat="1" applyFont="1" applyFill="1" applyBorder="1" applyAlignment="1">
      <alignment horizontal="right" vertical="center"/>
    </xf>
    <xf numFmtId="1" fontId="8" fillId="0" borderId="3" xfId="1" applyNumberFormat="1" applyFont="1" applyFill="1" applyBorder="1" applyAlignment="1">
      <alignment horizontal="center" vertical="center"/>
    </xf>
    <xf numFmtId="1" fontId="7" fillId="0" borderId="0" xfId="1" applyNumberFormat="1" applyFont="1" applyFill="1" applyBorder="1" applyAlignment="1">
      <alignment horizontal="center" vertical="center"/>
    </xf>
    <xf numFmtId="1" fontId="7" fillId="0" borderId="0" xfId="1" applyNumberFormat="1" applyFont="1" applyFill="1" applyBorder="1" applyAlignment="1">
      <alignment horizontal="left" vertical="center" indent="15"/>
    </xf>
    <xf numFmtId="1" fontId="7" fillId="0" borderId="5" xfId="1" applyNumberFormat="1" applyFont="1" applyFill="1" applyBorder="1" applyAlignment="1">
      <alignment horizontal="center" vertical="center"/>
    </xf>
    <xf numFmtId="1" fontId="7" fillId="0" borderId="5" xfId="1" applyNumberFormat="1" applyFont="1" applyFill="1" applyBorder="1" applyAlignment="1">
      <alignment horizontal="left" vertical="center" indent="15"/>
    </xf>
    <xf numFmtId="4" fontId="7" fillId="0" borderId="2" xfId="1" applyNumberFormat="1" applyFont="1" applyFill="1" applyBorder="1" applyAlignment="1">
      <alignment horizontal="left" vertical="center"/>
    </xf>
    <xf numFmtId="4" fontId="7" fillId="0" borderId="0" xfId="1" applyNumberFormat="1" applyFont="1" applyFill="1" applyAlignment="1">
      <alignment vertical="center"/>
    </xf>
    <xf numFmtId="1" fontId="8" fillId="0" borderId="5" xfId="1" applyNumberFormat="1" applyFont="1" applyFill="1" applyBorder="1" applyAlignment="1">
      <alignment horizontal="center" vertical="center"/>
    </xf>
    <xf numFmtId="4" fontId="7" fillId="0" borderId="5" xfId="1" applyNumberFormat="1" applyFont="1" applyFill="1" applyBorder="1" applyAlignment="1">
      <alignment horizontal="right" vertical="center"/>
    </xf>
    <xf numFmtId="4" fontId="7" fillId="0" borderId="5" xfId="1" applyNumberFormat="1" applyFont="1" applyFill="1" applyBorder="1" applyAlignment="1">
      <alignment vertical="center"/>
    </xf>
    <xf numFmtId="3" fontId="9" fillId="4" borderId="8" xfId="1" applyNumberFormat="1" applyFont="1" applyFill="1" applyBorder="1" applyAlignment="1">
      <alignment horizontal="center" vertical="center"/>
    </xf>
    <xf numFmtId="4" fontId="7" fillId="0" borderId="3" xfId="1" applyNumberFormat="1" applyFont="1" applyFill="1" applyBorder="1" applyAlignment="1">
      <alignment vertical="center"/>
    </xf>
    <xf numFmtId="4" fontId="7" fillId="0" borderId="15" xfId="1" applyNumberFormat="1" applyFont="1" applyFill="1" applyBorder="1" applyAlignment="1">
      <alignment vertical="center"/>
    </xf>
    <xf numFmtId="4" fontId="7" fillId="0" borderId="0" xfId="1" applyNumberFormat="1" applyFont="1" applyFill="1" applyBorder="1" applyAlignment="1">
      <alignment vertical="center"/>
    </xf>
    <xf numFmtId="1" fontId="7" fillId="0" borderId="0" xfId="1" applyNumberFormat="1" applyFont="1" applyFill="1" applyBorder="1" applyAlignment="1">
      <alignment horizontal="right" vertical="center"/>
    </xf>
    <xf numFmtId="4" fontId="7" fillId="0" borderId="0" xfId="1" applyNumberFormat="1" applyFont="1" applyFill="1" applyBorder="1" applyAlignment="1">
      <alignment horizontal="right" vertical="center"/>
    </xf>
    <xf numFmtId="4" fontId="7" fillId="2" borderId="0" xfId="1" applyNumberFormat="1" applyFont="1" applyFill="1" applyBorder="1" applyAlignment="1">
      <alignment vertical="center"/>
    </xf>
    <xf numFmtId="4" fontId="7" fillId="2" borderId="0" xfId="1" applyNumberFormat="1" applyFont="1" applyFill="1" applyAlignment="1">
      <alignment vertical="center"/>
    </xf>
    <xf numFmtId="1" fontId="7" fillId="0" borderId="0" xfId="1" applyNumberFormat="1" applyFont="1" applyFill="1" applyAlignment="1">
      <alignment vertical="center"/>
    </xf>
    <xf numFmtId="4" fontId="7" fillId="2" borderId="0" xfId="1" applyNumberFormat="1" applyFont="1" applyFill="1" applyBorder="1" applyAlignment="1">
      <alignment horizontal="center" vertical="center"/>
    </xf>
    <xf numFmtId="4" fontId="10" fillId="3" borderId="0" xfId="1" applyNumberFormat="1" applyFont="1" applyFill="1" applyBorder="1" applyAlignment="1">
      <alignment horizontal="center" vertical="center"/>
    </xf>
    <xf numFmtId="4" fontId="10" fillId="3" borderId="0" xfId="1" applyNumberFormat="1" applyFont="1" applyFill="1" applyAlignment="1">
      <alignment vertical="center"/>
    </xf>
    <xf numFmtId="4" fontId="10" fillId="0" borderId="0" xfId="1" applyNumberFormat="1" applyFont="1" applyFill="1" applyBorder="1" applyAlignment="1">
      <alignment horizontal="center" vertical="center"/>
    </xf>
    <xf numFmtId="4" fontId="8" fillId="2" borderId="0" xfId="1" applyNumberFormat="1" applyFont="1" applyFill="1" applyBorder="1" applyAlignment="1">
      <alignment horizontal="center" vertical="center"/>
    </xf>
    <xf numFmtId="4" fontId="8" fillId="2" borderId="0" xfId="1" applyNumberFormat="1" applyFont="1" applyFill="1" applyAlignment="1">
      <alignment vertical="center"/>
    </xf>
    <xf numFmtId="4" fontId="7" fillId="3" borderId="0" xfId="1" applyNumberFormat="1" applyFont="1" applyFill="1" applyBorder="1" applyAlignment="1">
      <alignment horizontal="center" vertical="center"/>
    </xf>
    <xf numFmtId="4" fontId="7" fillId="3" borderId="0" xfId="1" applyNumberFormat="1" applyFont="1" applyFill="1" applyAlignment="1">
      <alignment vertical="center"/>
    </xf>
    <xf numFmtId="1" fontId="6" fillId="0" borderId="6" xfId="1" applyNumberFormat="1" applyFont="1" applyFill="1" applyBorder="1" applyAlignment="1">
      <alignment horizontal="center" vertical="center"/>
    </xf>
    <xf numFmtId="3" fontId="6" fillId="0" borderId="8" xfId="1" applyNumberFormat="1" applyFont="1" applyFill="1" applyBorder="1" applyAlignment="1">
      <alignment horizontal="center" vertical="center"/>
    </xf>
    <xf numFmtId="3" fontId="6" fillId="0" borderId="9" xfId="1" applyNumberFormat="1" applyFont="1" applyFill="1" applyBorder="1" applyAlignment="1">
      <alignment horizontal="center" vertical="center"/>
    </xf>
    <xf numFmtId="3" fontId="6" fillId="4" borderId="6" xfId="1" applyNumberFormat="1" applyFont="1" applyFill="1" applyBorder="1" applyAlignment="1">
      <alignment horizontal="center" vertical="center"/>
    </xf>
    <xf numFmtId="3" fontId="6" fillId="0" borderId="6" xfId="1" applyNumberFormat="1" applyFont="1" applyFill="1" applyBorder="1" applyAlignment="1">
      <alignment horizontal="center" vertical="center"/>
    </xf>
    <xf numFmtId="4" fontId="8" fillId="0" borderId="10" xfId="2" applyNumberFormat="1" applyFont="1" applyBorder="1" applyAlignment="1">
      <alignment vertical="center"/>
    </xf>
    <xf numFmtId="4" fontId="7" fillId="0" borderId="12" xfId="2" applyNumberFormat="1" applyFont="1" applyBorder="1" applyAlignment="1">
      <alignment horizontal="center" vertical="center"/>
    </xf>
    <xf numFmtId="4" fontId="7" fillId="0" borderId="1" xfId="2" applyNumberFormat="1" applyFont="1" applyBorder="1" applyAlignment="1">
      <alignment horizontal="right" vertical="center"/>
    </xf>
    <xf numFmtId="4" fontId="7" fillId="0" borderId="2" xfId="2" applyNumberFormat="1" applyFont="1" applyBorder="1" applyAlignment="1">
      <alignment horizontal="center" vertical="center"/>
    </xf>
    <xf numFmtId="4" fontId="7" fillId="0" borderId="1" xfId="2" applyNumberFormat="1" applyFont="1" applyBorder="1" applyAlignment="1">
      <alignment horizontal="center" vertical="center"/>
    </xf>
    <xf numFmtId="4" fontId="7" fillId="0" borderId="11" xfId="2" applyNumberFormat="1" applyFont="1" applyBorder="1" applyAlignment="1">
      <alignment horizontal="right" vertical="center"/>
    </xf>
    <xf numFmtId="4" fontId="7" fillId="0" borderId="11" xfId="2" applyNumberFormat="1" applyFont="1" applyBorder="1" applyAlignment="1">
      <alignment horizontal="center" vertical="center"/>
    </xf>
    <xf numFmtId="4" fontId="9" fillId="0" borderId="13" xfId="1" applyNumberFormat="1" applyFont="1" applyFill="1" applyBorder="1" applyAlignment="1">
      <alignment horizontal="right" vertical="center"/>
    </xf>
    <xf numFmtId="4" fontId="8" fillId="0" borderId="12" xfId="1" applyNumberFormat="1" applyFont="1" applyFill="1" applyBorder="1" applyAlignment="1">
      <alignment horizontal="right" vertical="center"/>
    </xf>
    <xf numFmtId="4" fontId="7" fillId="0" borderId="7" xfId="1" applyNumberFormat="1" applyFont="1" applyFill="1" applyBorder="1" applyAlignment="1">
      <alignment horizontal="right" vertical="center"/>
    </xf>
    <xf numFmtId="4" fontId="9" fillId="0" borderId="12" xfId="1" applyNumberFormat="1" applyFont="1" applyFill="1" applyBorder="1" applyAlignment="1">
      <alignment horizontal="right" vertical="center"/>
    </xf>
    <xf numFmtId="4" fontId="8" fillId="0" borderId="16" xfId="1" applyNumberFormat="1" applyFont="1" applyFill="1" applyBorder="1" applyAlignment="1">
      <alignment horizontal="right" vertical="center"/>
    </xf>
    <xf numFmtId="4" fontId="7" fillId="5" borderId="1" xfId="1" applyNumberFormat="1" applyFont="1" applyFill="1" applyBorder="1" applyAlignment="1">
      <alignment vertical="center"/>
    </xf>
    <xf numFmtId="4" fontId="7" fillId="5" borderId="7" xfId="1" applyNumberFormat="1" applyFont="1" applyFill="1" applyBorder="1" applyAlignment="1">
      <alignment horizontal="right" vertical="center"/>
    </xf>
    <xf numFmtId="4" fontId="7" fillId="0" borderId="11" xfId="1" applyNumberFormat="1" applyFont="1" applyFill="1" applyBorder="1" applyAlignment="1">
      <alignment horizontal="right" vertical="center"/>
    </xf>
    <xf numFmtId="4" fontId="8" fillId="0" borderId="17" xfId="1" applyNumberFormat="1" applyFont="1" applyFill="1" applyBorder="1" applyAlignment="1">
      <alignment horizontal="right" vertical="center"/>
    </xf>
    <xf numFmtId="4" fontId="7" fillId="0" borderId="2" xfId="1" applyNumberFormat="1" applyFont="1" applyFill="1" applyBorder="1" applyAlignment="1">
      <alignment vertical="center"/>
    </xf>
    <xf numFmtId="1" fontId="12" fillId="0" borderId="5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horizontal="left" vertical="center"/>
    </xf>
    <xf numFmtId="4" fontId="7" fillId="0" borderId="12" xfId="1" applyNumberFormat="1" applyFont="1" applyFill="1" applyBorder="1" applyAlignment="1">
      <alignment horizontal="center" vertical="center"/>
    </xf>
    <xf numFmtId="4" fontId="7" fillId="0" borderId="6" xfId="1" applyNumberFormat="1" applyFont="1" applyFill="1" applyBorder="1" applyAlignment="1">
      <alignment vertical="center"/>
    </xf>
    <xf numFmtId="14" fontId="7" fillId="0" borderId="12" xfId="1" applyNumberFormat="1" applyFont="1" applyFill="1" applyBorder="1" applyAlignment="1">
      <alignment vertical="center" wrapText="1"/>
    </xf>
    <xf numFmtId="14" fontId="7" fillId="0" borderId="3" xfId="1" applyNumberFormat="1" applyFont="1" applyFill="1" applyBorder="1" applyAlignment="1">
      <alignment vertical="center" wrapText="1"/>
    </xf>
    <xf numFmtId="4" fontId="7" fillId="0" borderId="0" xfId="2" applyNumberFormat="1" applyFont="1" applyBorder="1" applyAlignment="1">
      <alignment horizontal="right" vertical="center"/>
    </xf>
    <xf numFmtId="4" fontId="7" fillId="0" borderId="0" xfId="2" applyNumberFormat="1" applyFont="1" applyBorder="1" applyAlignment="1">
      <alignment horizontal="center" vertical="center"/>
    </xf>
    <xf numFmtId="4" fontId="9" fillId="0" borderId="21" xfId="1" applyNumberFormat="1" applyFont="1" applyFill="1" applyBorder="1" applyAlignment="1">
      <alignment horizontal="right" vertical="center"/>
    </xf>
    <xf numFmtId="3" fontId="6" fillId="0" borderId="24" xfId="1" applyNumberFormat="1" applyFont="1" applyFill="1" applyBorder="1" applyAlignment="1">
      <alignment horizontal="center" vertical="center"/>
    </xf>
    <xf numFmtId="3" fontId="6" fillId="0" borderId="34" xfId="1" applyNumberFormat="1" applyFont="1" applyFill="1" applyBorder="1" applyAlignment="1">
      <alignment horizontal="center" vertical="center"/>
    </xf>
    <xf numFmtId="4" fontId="7" fillId="0" borderId="27" xfId="1" applyNumberFormat="1" applyFont="1" applyFill="1" applyBorder="1" applyAlignment="1">
      <alignment vertical="center"/>
    </xf>
    <xf numFmtId="4" fontId="7" fillId="0" borderId="26" xfId="1" applyNumberFormat="1" applyFont="1" applyFill="1" applyBorder="1" applyAlignment="1">
      <alignment vertical="center"/>
    </xf>
    <xf numFmtId="4" fontId="7" fillId="0" borderId="29" xfId="1" applyNumberFormat="1" applyFont="1" applyFill="1" applyBorder="1" applyAlignment="1">
      <alignment vertical="center"/>
    </xf>
    <xf numFmtId="4" fontId="7" fillId="0" borderId="39" xfId="1" applyNumberFormat="1" applyFont="1" applyFill="1" applyBorder="1" applyAlignment="1">
      <alignment vertical="center"/>
    </xf>
    <xf numFmtId="4" fontId="8" fillId="0" borderId="29" xfId="2" applyNumberFormat="1" applyFont="1" applyBorder="1" applyAlignment="1">
      <alignment vertical="center"/>
    </xf>
    <xf numFmtId="4" fontId="8" fillId="0" borderId="33" xfId="2" applyNumberFormat="1" applyFont="1" applyBorder="1" applyAlignment="1">
      <alignment vertical="center"/>
    </xf>
    <xf numFmtId="4" fontId="7" fillId="0" borderId="27" xfId="2" applyNumberFormat="1" applyFont="1" applyBorder="1" applyAlignment="1">
      <alignment horizontal="center" vertical="center"/>
    </xf>
    <xf numFmtId="4" fontId="7" fillId="0" borderId="32" xfId="2" applyNumberFormat="1" applyFont="1" applyBorder="1" applyAlignment="1">
      <alignment vertical="center"/>
    </xf>
    <xf numFmtId="4" fontId="7" fillId="0" borderId="27" xfId="2" applyNumberFormat="1" applyFont="1" applyBorder="1" applyAlignment="1">
      <alignment horizontal="right" vertical="center"/>
    </xf>
    <xf numFmtId="4" fontId="7" fillId="0" borderId="26" xfId="2" applyNumberFormat="1" applyFont="1" applyBorder="1" applyAlignment="1">
      <alignment vertical="center"/>
    </xf>
    <xf numFmtId="4" fontId="7" fillId="0" borderId="30" xfId="2" applyNumberFormat="1" applyFont="1" applyBorder="1" applyAlignment="1">
      <alignment horizontal="center" vertical="center"/>
    </xf>
    <xf numFmtId="4" fontId="7" fillId="0" borderId="29" xfId="2" applyNumberFormat="1" applyFont="1" applyBorder="1" applyAlignment="1">
      <alignment horizontal="right" vertical="center"/>
    </xf>
    <xf numFmtId="4" fontId="7" fillId="0" borderId="39" xfId="2" applyNumberFormat="1" applyFont="1" applyBorder="1" applyAlignment="1">
      <alignment vertical="center"/>
    </xf>
    <xf numFmtId="4" fontId="9" fillId="0" borderId="36" xfId="1" applyNumberFormat="1" applyFont="1" applyFill="1" applyBorder="1" applyAlignment="1">
      <alignment horizontal="right" vertical="center"/>
    </xf>
    <xf numFmtId="4" fontId="9" fillId="0" borderId="38" xfId="1" applyNumberFormat="1" applyFont="1" applyFill="1" applyBorder="1" applyAlignment="1">
      <alignment horizontal="right" vertical="center"/>
    </xf>
    <xf numFmtId="4" fontId="8" fillId="0" borderId="27" xfId="1" applyNumberFormat="1" applyFont="1" applyFill="1" applyBorder="1" applyAlignment="1">
      <alignment horizontal="right" vertical="center"/>
    </xf>
    <xf numFmtId="4" fontId="8" fillId="0" borderId="32" xfId="1" applyNumberFormat="1" applyFont="1" applyFill="1" applyBorder="1" applyAlignment="1">
      <alignment horizontal="right" vertical="center"/>
    </xf>
    <xf numFmtId="4" fontId="7" fillId="0" borderId="27" xfId="1" applyNumberFormat="1" applyFont="1" applyFill="1" applyBorder="1" applyAlignment="1">
      <alignment horizontal="right" vertical="center"/>
    </xf>
    <xf numFmtId="4" fontId="7" fillId="0" borderId="32" xfId="1" applyNumberFormat="1" applyFont="1" applyFill="1" applyBorder="1" applyAlignment="1">
      <alignment horizontal="right" vertical="center"/>
    </xf>
    <xf numFmtId="4" fontId="7" fillId="0" borderId="30" xfId="1" applyNumberFormat="1" applyFont="1" applyFill="1" applyBorder="1" applyAlignment="1">
      <alignment horizontal="right" vertical="center"/>
    </xf>
    <xf numFmtId="4" fontId="7" fillId="0" borderId="31" xfId="1" applyNumberFormat="1" applyFont="1" applyFill="1" applyBorder="1" applyAlignment="1">
      <alignment horizontal="right" vertical="center"/>
    </xf>
    <xf numFmtId="4" fontId="7" fillId="0" borderId="29" xfId="1" applyNumberFormat="1" applyFont="1" applyFill="1" applyBorder="1" applyAlignment="1">
      <alignment horizontal="right" vertical="center"/>
    </xf>
    <xf numFmtId="4" fontId="7" fillId="0" borderId="33" xfId="1" applyNumberFormat="1" applyFont="1" applyFill="1" applyBorder="1" applyAlignment="1">
      <alignment horizontal="right" vertical="center"/>
    </xf>
    <xf numFmtId="4" fontId="7" fillId="5" borderId="27" xfId="1" applyNumberFormat="1" applyFont="1" applyFill="1" applyBorder="1" applyAlignment="1">
      <alignment vertical="center"/>
    </xf>
    <xf numFmtId="4" fontId="7" fillId="5" borderId="26" xfId="1" applyNumberFormat="1" applyFont="1" applyFill="1" applyBorder="1" applyAlignment="1">
      <alignment vertical="center"/>
    </xf>
    <xf numFmtId="4" fontId="7" fillId="5" borderId="30" xfId="1" applyNumberFormat="1" applyFont="1" applyFill="1" applyBorder="1" applyAlignment="1">
      <alignment horizontal="right" vertical="center"/>
    </xf>
    <xf numFmtId="4" fontId="7" fillId="5" borderId="31" xfId="1" applyNumberFormat="1" applyFont="1" applyFill="1" applyBorder="1" applyAlignment="1">
      <alignment horizontal="right" vertical="center"/>
    </xf>
    <xf numFmtId="4" fontId="7" fillId="5" borderId="28" xfId="1" applyNumberFormat="1" applyFont="1" applyFill="1" applyBorder="1" applyAlignment="1">
      <alignment horizontal="right" vertical="center"/>
    </xf>
    <xf numFmtId="14" fontId="7" fillId="0" borderId="27" xfId="1" applyNumberFormat="1" applyFont="1" applyFill="1" applyBorder="1" applyAlignment="1">
      <alignment horizontal="center" vertical="center" wrapText="1"/>
    </xf>
    <xf numFmtId="14" fontId="9" fillId="4" borderId="12" xfId="1" applyNumberFormat="1" applyFont="1" applyFill="1" applyBorder="1" applyAlignment="1">
      <alignment horizontal="center" vertical="center" wrapText="1"/>
    </xf>
    <xf numFmtId="14" fontId="7" fillId="0" borderId="12" xfId="1" applyNumberFormat="1" applyFont="1" applyFill="1" applyBorder="1" applyAlignment="1">
      <alignment horizontal="center" vertical="center" wrapText="1"/>
    </xf>
    <xf numFmtId="14" fontId="9" fillId="4" borderId="12" xfId="1" applyNumberFormat="1" applyFont="1" applyFill="1" applyBorder="1" applyAlignment="1">
      <alignment horizontal="center" vertical="center"/>
    </xf>
    <xf numFmtId="164" fontId="8" fillId="0" borderId="29" xfId="2" applyNumberFormat="1" applyFont="1" applyBorder="1" applyAlignment="1">
      <alignment vertical="center"/>
    </xf>
    <xf numFmtId="164" fontId="10" fillId="4" borderId="10" xfId="2" applyNumberFormat="1" applyFont="1" applyFill="1" applyBorder="1" applyAlignment="1">
      <alignment vertical="center"/>
    </xf>
    <xf numFmtId="164" fontId="8" fillId="0" borderId="10" xfId="2" applyNumberFormat="1" applyFont="1" applyBorder="1" applyAlignment="1">
      <alignment vertical="center"/>
    </xf>
    <xf numFmtId="164" fontId="7" fillId="0" borderId="27" xfId="2" applyNumberFormat="1" applyFont="1" applyBorder="1" applyAlignment="1">
      <alignment horizontal="center" vertical="center"/>
    </xf>
    <xf numFmtId="164" fontId="9" fillId="4" borderId="12" xfId="2" applyNumberFormat="1" applyFont="1" applyFill="1" applyBorder="1" applyAlignment="1">
      <alignment horizontal="center" vertical="center"/>
    </xf>
    <xf numFmtId="164" fontId="7" fillId="0" borderId="12" xfId="2" applyNumberFormat="1" applyFont="1" applyBorder="1" applyAlignment="1">
      <alignment vertical="center"/>
    </xf>
    <xf numFmtId="164" fontId="7" fillId="0" borderId="27" xfId="2" applyNumberFormat="1" applyFont="1" applyBorder="1" applyAlignment="1">
      <alignment horizontal="right" vertical="center"/>
    </xf>
    <xf numFmtId="164" fontId="9" fillId="4" borderId="1" xfId="2" applyNumberFormat="1" applyFont="1" applyFill="1" applyBorder="1" applyAlignment="1">
      <alignment horizontal="right" vertical="center"/>
    </xf>
    <xf numFmtId="164" fontId="7" fillId="0" borderId="30" xfId="2" applyNumberFormat="1" applyFont="1" applyBorder="1" applyAlignment="1">
      <alignment horizontal="center" vertical="center"/>
    </xf>
    <xf numFmtId="164" fontId="9" fillId="4" borderId="2" xfId="2" applyNumberFormat="1" applyFont="1" applyFill="1" applyBorder="1" applyAlignment="1">
      <alignment horizontal="center" vertical="center"/>
    </xf>
    <xf numFmtId="164" fontId="7" fillId="0" borderId="10" xfId="2" applyNumberFormat="1" applyFont="1" applyBorder="1" applyAlignment="1">
      <alignment vertical="center"/>
    </xf>
    <xf numFmtId="164" fontId="9" fillId="4" borderId="1" xfId="2" applyNumberFormat="1" applyFont="1" applyFill="1" applyBorder="1" applyAlignment="1">
      <alignment horizontal="center" vertical="center"/>
    </xf>
    <xf numFmtId="164" fontId="7" fillId="0" borderId="29" xfId="2" applyNumberFormat="1" applyFont="1" applyBorder="1" applyAlignment="1">
      <alignment horizontal="right" vertical="center"/>
    </xf>
    <xf numFmtId="164" fontId="9" fillId="4" borderId="11" xfId="2" applyNumberFormat="1" applyFont="1" applyFill="1" applyBorder="1" applyAlignment="1">
      <alignment horizontal="right" vertical="center"/>
    </xf>
    <xf numFmtId="164" fontId="9" fillId="0" borderId="36" xfId="1" applyNumberFormat="1" applyFont="1" applyFill="1" applyBorder="1" applyAlignment="1">
      <alignment horizontal="right" vertical="center"/>
    </xf>
    <xf numFmtId="164" fontId="9" fillId="4" borderId="13" xfId="1" applyNumberFormat="1" applyFont="1" applyFill="1" applyBorder="1" applyAlignment="1">
      <alignment horizontal="right" vertical="center"/>
    </xf>
    <xf numFmtId="164" fontId="9" fillId="0" borderId="13" xfId="1" applyNumberFormat="1" applyFont="1" applyFill="1" applyBorder="1" applyAlignment="1">
      <alignment horizontal="right" vertical="center"/>
    </xf>
    <xf numFmtId="164" fontId="8" fillId="0" borderId="27" xfId="1" applyNumberFormat="1" applyFont="1" applyFill="1" applyBorder="1" applyAlignment="1">
      <alignment horizontal="right" vertical="center"/>
    </xf>
    <xf numFmtId="164" fontId="10" fillId="4" borderId="12" xfId="1" applyNumberFormat="1" applyFont="1" applyFill="1" applyBorder="1" applyAlignment="1">
      <alignment horizontal="right" vertical="center"/>
    </xf>
    <xf numFmtId="164" fontId="8" fillId="0" borderId="12" xfId="1" applyNumberFormat="1" applyFont="1" applyFill="1" applyBorder="1" applyAlignment="1">
      <alignment horizontal="right" vertical="center"/>
    </xf>
    <xf numFmtId="164" fontId="7" fillId="0" borderId="27" xfId="1" applyNumberFormat="1" applyFont="1" applyFill="1" applyBorder="1" applyAlignment="1">
      <alignment horizontal="right" vertical="center"/>
    </xf>
    <xf numFmtId="164" fontId="9" fillId="4" borderId="12" xfId="1" applyNumberFormat="1" applyFont="1" applyFill="1" applyBorder="1" applyAlignment="1">
      <alignment horizontal="right" vertical="center"/>
    </xf>
    <xf numFmtId="164" fontId="7" fillId="0" borderId="12" xfId="1" applyNumberFormat="1" applyFont="1" applyFill="1" applyBorder="1" applyAlignment="1">
      <alignment horizontal="right" vertical="center"/>
    </xf>
    <xf numFmtId="164" fontId="7" fillId="0" borderId="30" xfId="1" applyNumberFormat="1" applyFont="1" applyFill="1" applyBorder="1" applyAlignment="1">
      <alignment horizontal="right" vertical="center"/>
    </xf>
    <xf numFmtId="164" fontId="9" fillId="4" borderId="7" xfId="1" applyNumberFormat="1" applyFont="1" applyFill="1" applyBorder="1" applyAlignment="1">
      <alignment horizontal="right" vertical="center"/>
    </xf>
    <xf numFmtId="164" fontId="7" fillId="0" borderId="7" xfId="1" applyNumberFormat="1" applyFont="1" applyFill="1" applyBorder="1" applyAlignment="1">
      <alignment horizontal="right" vertical="center"/>
    </xf>
    <xf numFmtId="164" fontId="7" fillId="0" borderId="29" xfId="1" applyNumberFormat="1" applyFont="1" applyFill="1" applyBorder="1" applyAlignment="1">
      <alignment horizontal="right" vertical="center"/>
    </xf>
    <xf numFmtId="164" fontId="9" fillId="4" borderId="10" xfId="1" applyNumberFormat="1" applyFont="1" applyFill="1" applyBorder="1" applyAlignment="1">
      <alignment horizontal="right" vertical="center"/>
    </xf>
    <xf numFmtId="164" fontId="7" fillId="0" borderId="10" xfId="1" applyNumberFormat="1" applyFont="1" applyFill="1" applyBorder="1" applyAlignment="1">
      <alignment horizontal="right" vertical="center"/>
    </xf>
    <xf numFmtId="164" fontId="7" fillId="0" borderId="11" xfId="1" applyNumberFormat="1" applyFont="1" applyFill="1" applyBorder="1" applyAlignment="1">
      <alignment vertical="center"/>
    </xf>
    <xf numFmtId="164" fontId="7" fillId="0" borderId="1" xfId="1" applyNumberFormat="1" applyFont="1" applyFill="1" applyBorder="1" applyAlignment="1">
      <alignment vertical="center"/>
    </xf>
    <xf numFmtId="164" fontId="7" fillId="0" borderId="7" xfId="1" applyNumberFormat="1" applyFont="1" applyFill="1" applyBorder="1" applyAlignment="1">
      <alignment vertical="center"/>
    </xf>
    <xf numFmtId="164" fontId="7" fillId="0" borderId="1" xfId="1" applyNumberFormat="1" applyFont="1" applyFill="1" applyBorder="1" applyAlignment="1">
      <alignment horizontal="right" vertical="center"/>
    </xf>
    <xf numFmtId="164" fontId="7" fillId="0" borderId="2" xfId="1" applyNumberFormat="1" applyFont="1" applyFill="1" applyBorder="1" applyAlignment="1">
      <alignment horizontal="right" vertical="center"/>
    </xf>
    <xf numFmtId="164" fontId="7" fillId="5" borderId="30" xfId="1" applyNumberFormat="1" applyFont="1" applyFill="1" applyBorder="1" applyAlignment="1">
      <alignment horizontal="right" vertical="center"/>
    </xf>
    <xf numFmtId="1" fontId="8" fillId="0" borderId="17" xfId="1" applyNumberFormat="1" applyFont="1" applyFill="1" applyBorder="1" applyAlignment="1">
      <alignment horizontal="center" vertical="center"/>
    </xf>
    <xf numFmtId="4" fontId="3" fillId="0" borderId="5" xfId="1" applyNumberFormat="1" applyFont="1" applyFill="1" applyBorder="1" applyAlignment="1">
      <alignment horizontal="right"/>
    </xf>
    <xf numFmtId="1" fontId="8" fillId="0" borderId="10" xfId="1" quotePrefix="1" applyNumberFormat="1" applyFont="1" applyFill="1" applyBorder="1" applyAlignment="1">
      <alignment horizontal="center" vertical="center"/>
    </xf>
    <xf numFmtId="1" fontId="7" fillId="0" borderId="8" xfId="1" applyNumberFormat="1" applyFont="1" applyFill="1" applyBorder="1" applyAlignment="1">
      <alignment horizontal="center" vertical="center"/>
    </xf>
    <xf numFmtId="1" fontId="7" fillId="0" borderId="6" xfId="1" applyNumberFormat="1" applyFont="1" applyFill="1" applyBorder="1" applyAlignment="1">
      <alignment vertical="center"/>
    </xf>
    <xf numFmtId="4" fontId="7" fillId="0" borderId="8" xfId="1" applyNumberFormat="1" applyFont="1" applyFill="1" applyBorder="1" applyAlignment="1">
      <alignment vertical="center"/>
    </xf>
    <xf numFmtId="4" fontId="7" fillId="0" borderId="8" xfId="1" applyNumberFormat="1" applyFont="1" applyFill="1" applyBorder="1" applyAlignment="1">
      <alignment horizontal="right" vertical="center"/>
    </xf>
    <xf numFmtId="4" fontId="9" fillId="0" borderId="8" xfId="1" applyNumberFormat="1" applyFont="1" applyFill="1" applyBorder="1" applyAlignment="1">
      <alignment horizontal="left" vertical="center"/>
    </xf>
    <xf numFmtId="4" fontId="7" fillId="0" borderId="8" xfId="1" quotePrefix="1" applyNumberFormat="1" applyFont="1" applyFill="1" applyBorder="1" applyAlignment="1">
      <alignment vertical="center"/>
    </xf>
    <xf numFmtId="4" fontId="7" fillId="0" borderId="6" xfId="1" applyNumberFormat="1" applyFont="1" applyFill="1" applyBorder="1" applyAlignment="1">
      <alignment horizontal="right" vertical="center"/>
    </xf>
    <xf numFmtId="1" fontId="7" fillId="0" borderId="6" xfId="1" applyNumberFormat="1" applyFont="1" applyFill="1" applyBorder="1" applyAlignment="1">
      <alignment horizontal="center" vertical="center"/>
    </xf>
    <xf numFmtId="1" fontId="8" fillId="0" borderId="15" xfId="1" applyNumberFormat="1" applyFont="1" applyFill="1" applyBorder="1" applyAlignment="1">
      <alignment horizontal="center" vertical="center"/>
    </xf>
    <xf numFmtId="1" fontId="8" fillId="0" borderId="18" xfId="1" applyNumberFormat="1" applyFont="1" applyFill="1" applyBorder="1" applyAlignment="1">
      <alignment vertical="center"/>
    </xf>
    <xf numFmtId="4" fontId="8" fillId="0" borderId="10" xfId="1" applyNumberFormat="1" applyFont="1" applyFill="1" applyBorder="1" applyAlignment="1">
      <alignment horizontal="left" vertical="center"/>
    </xf>
    <xf numFmtId="1" fontId="7" fillId="0" borderId="9" xfId="1" applyNumberFormat="1" applyFont="1" applyFill="1" applyBorder="1" applyAlignment="1">
      <alignment horizontal="center" vertical="center"/>
    </xf>
    <xf numFmtId="1" fontId="7" fillId="0" borderId="23" xfId="1" applyNumberFormat="1" applyFont="1" applyFill="1" applyBorder="1" applyAlignment="1">
      <alignment vertical="center"/>
    </xf>
    <xf numFmtId="1" fontId="8" fillId="0" borderId="9" xfId="1" applyNumberFormat="1" applyFont="1" applyFill="1" applyBorder="1" applyAlignment="1">
      <alignment horizontal="center" vertical="center"/>
    </xf>
    <xf numFmtId="1" fontId="8" fillId="0" borderId="23" xfId="1" applyNumberFormat="1" applyFont="1" applyFill="1" applyBorder="1" applyAlignment="1">
      <alignment vertical="center" wrapText="1"/>
    </xf>
    <xf numFmtId="4" fontId="8" fillId="0" borderId="8" xfId="1" quotePrefix="1" applyNumberFormat="1" applyFont="1" applyFill="1" applyBorder="1" applyAlignment="1">
      <alignment vertical="center"/>
    </xf>
    <xf numFmtId="4" fontId="8" fillId="0" borderId="6" xfId="1" applyNumberFormat="1" applyFont="1" applyFill="1" applyBorder="1" applyAlignment="1">
      <alignment vertical="center"/>
    </xf>
    <xf numFmtId="1" fontId="7" fillId="0" borderId="3" xfId="1" applyNumberFormat="1" applyFont="1" applyFill="1" applyBorder="1" applyAlignment="1">
      <alignment vertical="center"/>
    </xf>
    <xf numFmtId="1" fontId="7" fillId="0" borderId="15" xfId="1" applyNumberFormat="1" applyFont="1" applyFill="1" applyBorder="1" applyAlignment="1">
      <alignment vertical="center"/>
    </xf>
    <xf numFmtId="4" fontId="5" fillId="0" borderId="0" xfId="1" applyNumberFormat="1" applyFont="1" applyFill="1" applyBorder="1" applyAlignment="1">
      <alignment vertical="center"/>
    </xf>
    <xf numFmtId="4" fontId="5" fillId="0" borderId="0" xfId="1" applyNumberFormat="1" applyFont="1" applyFill="1" applyBorder="1" applyAlignment="1">
      <alignment vertical="center" wrapText="1"/>
    </xf>
    <xf numFmtId="164" fontId="7" fillId="5" borderId="12" xfId="1" applyNumberFormat="1" applyFont="1" applyFill="1" applyBorder="1" applyAlignment="1">
      <alignment horizontal="right" vertical="center"/>
    </xf>
    <xf numFmtId="164" fontId="7" fillId="5" borderId="32" xfId="1" applyNumberFormat="1" applyFont="1" applyFill="1" applyBorder="1" applyAlignment="1">
      <alignment horizontal="right" vertical="center"/>
    </xf>
    <xf numFmtId="164" fontId="7" fillId="5" borderId="1" xfId="1" applyNumberFormat="1" applyFont="1" applyFill="1" applyBorder="1" applyAlignment="1">
      <alignment horizontal="right" vertical="center"/>
    </xf>
    <xf numFmtId="164" fontId="7" fillId="5" borderId="26" xfId="1" applyNumberFormat="1" applyFont="1" applyFill="1" applyBorder="1" applyAlignment="1">
      <alignment horizontal="right" vertical="center"/>
    </xf>
    <xf numFmtId="4" fontId="9" fillId="5" borderId="0" xfId="1" applyNumberFormat="1" applyFont="1" applyFill="1" applyAlignment="1">
      <alignment vertical="center"/>
    </xf>
    <xf numFmtId="4" fontId="9" fillId="0" borderId="12" xfId="1" applyNumberFormat="1" applyFont="1" applyFill="1" applyBorder="1" applyAlignment="1">
      <alignment horizontal="center" vertical="center"/>
    </xf>
    <xf numFmtId="4" fontId="7" fillId="5" borderId="10" xfId="1" applyNumberFormat="1" applyFont="1" applyFill="1" applyBorder="1" applyAlignment="1">
      <alignment vertical="center"/>
    </xf>
    <xf numFmtId="4" fontId="8" fillId="0" borderId="0" xfId="1" applyNumberFormat="1" applyFont="1" applyFill="1" applyAlignment="1">
      <alignment vertical="center"/>
    </xf>
    <xf numFmtId="4" fontId="8" fillId="6" borderId="0" xfId="1" applyNumberFormat="1" applyFont="1" applyFill="1" applyAlignment="1">
      <alignment vertical="center"/>
    </xf>
    <xf numFmtId="4" fontId="7" fillId="6" borderId="0" xfId="1" applyNumberFormat="1" applyFont="1" applyFill="1" applyAlignment="1">
      <alignment vertical="center"/>
    </xf>
    <xf numFmtId="4" fontId="7" fillId="5" borderId="0" xfId="1" applyNumberFormat="1" applyFont="1" applyFill="1" applyAlignment="1">
      <alignment vertical="center"/>
    </xf>
    <xf numFmtId="4" fontId="9" fillId="5" borderId="12" xfId="1" applyNumberFormat="1" applyFont="1" applyFill="1" applyBorder="1" applyAlignment="1">
      <alignment vertical="center"/>
    </xf>
    <xf numFmtId="4" fontId="9" fillId="5" borderId="3" xfId="1" applyNumberFormat="1" applyFont="1" applyFill="1" applyBorder="1" applyAlignment="1">
      <alignment horizontal="right" vertical="center"/>
    </xf>
    <xf numFmtId="164" fontId="9" fillId="5" borderId="27" xfId="1" applyNumberFormat="1" applyFont="1" applyFill="1" applyBorder="1" applyAlignment="1">
      <alignment horizontal="right" vertical="center"/>
    </xf>
    <xf numFmtId="164" fontId="9" fillId="5" borderId="12" xfId="1" applyNumberFormat="1" applyFont="1" applyFill="1" applyBorder="1" applyAlignment="1">
      <alignment horizontal="right" vertical="center"/>
    </xf>
    <xf numFmtId="4" fontId="9" fillId="5" borderId="32" xfId="1" applyNumberFormat="1" applyFont="1" applyFill="1" applyBorder="1" applyAlignment="1">
      <alignment horizontal="right" vertical="center"/>
    </xf>
    <xf numFmtId="4" fontId="9" fillId="5" borderId="27" xfId="1" applyNumberFormat="1" applyFont="1" applyFill="1" applyBorder="1" applyAlignment="1">
      <alignment horizontal="right" vertical="center"/>
    </xf>
    <xf numFmtId="4" fontId="7" fillId="5" borderId="12" xfId="1" applyNumberFormat="1" applyFont="1" applyFill="1" applyBorder="1" applyAlignment="1">
      <alignment vertical="center"/>
    </xf>
    <xf numFmtId="4" fontId="7" fillId="5" borderId="3" xfId="1" applyNumberFormat="1" applyFont="1" applyFill="1" applyBorder="1" applyAlignment="1">
      <alignment horizontal="right" vertical="center"/>
    </xf>
    <xf numFmtId="164" fontId="7" fillId="5" borderId="27" xfId="1" applyNumberFormat="1" applyFont="1" applyFill="1" applyBorder="1" applyAlignment="1">
      <alignment horizontal="right" vertical="center"/>
    </xf>
    <xf numFmtId="4" fontId="7" fillId="5" borderId="32" xfId="1" applyNumberFormat="1" applyFont="1" applyFill="1" applyBorder="1" applyAlignment="1">
      <alignment horizontal="right" vertical="center"/>
    </xf>
    <xf numFmtId="4" fontId="7" fillId="5" borderId="27" xfId="1" applyNumberFormat="1" applyFont="1" applyFill="1" applyBorder="1" applyAlignment="1">
      <alignment horizontal="right" vertical="center"/>
    </xf>
    <xf numFmtId="164" fontId="7" fillId="5" borderId="29" xfId="1" applyNumberFormat="1" applyFont="1" applyFill="1" applyBorder="1" applyAlignment="1">
      <alignment horizontal="right" vertical="center"/>
    </xf>
    <xf numFmtId="164" fontId="9" fillId="5" borderId="10" xfId="1" applyNumberFormat="1" applyFont="1" applyFill="1" applyBorder="1" applyAlignment="1">
      <alignment horizontal="right" vertical="center"/>
    </xf>
    <xf numFmtId="164" fontId="7" fillId="5" borderId="10" xfId="1" applyNumberFormat="1" applyFont="1" applyFill="1" applyBorder="1" applyAlignment="1">
      <alignment horizontal="right" vertical="center"/>
    </xf>
    <xf numFmtId="4" fontId="7" fillId="5" borderId="33" xfId="1" applyNumberFormat="1" applyFont="1" applyFill="1" applyBorder="1" applyAlignment="1">
      <alignment horizontal="right" vertical="center"/>
    </xf>
    <xf numFmtId="4" fontId="9" fillId="5" borderId="10" xfId="1" applyNumberFormat="1" applyFont="1" applyFill="1" applyBorder="1" applyAlignment="1">
      <alignment vertical="center"/>
    </xf>
    <xf numFmtId="4" fontId="9" fillId="5" borderId="12" xfId="1" applyNumberFormat="1" applyFont="1" applyFill="1" applyBorder="1" applyAlignment="1">
      <alignment horizontal="right" vertical="center"/>
    </xf>
    <xf numFmtId="4" fontId="7" fillId="5" borderId="12" xfId="1" applyNumberFormat="1" applyFont="1" applyFill="1" applyBorder="1" applyAlignment="1">
      <alignment horizontal="right" vertical="center"/>
    </xf>
    <xf numFmtId="4" fontId="7" fillId="5" borderId="15" xfId="1" applyNumberFormat="1" applyFont="1" applyFill="1" applyBorder="1" applyAlignment="1">
      <alignment horizontal="right" vertical="center"/>
    </xf>
    <xf numFmtId="4" fontId="7" fillId="5" borderId="29" xfId="1" applyNumberFormat="1" applyFont="1" applyFill="1" applyBorder="1" applyAlignment="1">
      <alignment horizontal="right" vertical="center"/>
    </xf>
    <xf numFmtId="4" fontId="9" fillId="5" borderId="10" xfId="1" applyNumberFormat="1" applyFont="1" applyFill="1" applyBorder="1" applyAlignment="1">
      <alignment horizontal="right" vertical="center"/>
    </xf>
    <xf numFmtId="4" fontId="7" fillId="5" borderId="10" xfId="1" applyNumberFormat="1" applyFont="1" applyFill="1" applyBorder="1" applyAlignment="1">
      <alignment horizontal="right" vertical="center"/>
    </xf>
    <xf numFmtId="4" fontId="8" fillId="5" borderId="16" xfId="1" applyNumberFormat="1" applyFont="1" applyFill="1" applyBorder="1" applyAlignment="1">
      <alignment vertical="center"/>
    </xf>
    <xf numFmtId="164" fontId="8" fillId="5" borderId="35" xfId="1" applyNumberFormat="1" applyFont="1" applyFill="1" applyBorder="1" applyAlignment="1">
      <alignment horizontal="right" vertical="center"/>
    </xf>
    <xf numFmtId="164" fontId="10" fillId="5" borderId="16" xfId="1" applyNumberFormat="1" applyFont="1" applyFill="1" applyBorder="1" applyAlignment="1">
      <alignment horizontal="right" vertical="center"/>
    </xf>
    <xf numFmtId="164" fontId="8" fillId="5" borderId="16" xfId="1" applyNumberFormat="1" applyFont="1" applyFill="1" applyBorder="1" applyAlignment="1">
      <alignment horizontal="right" vertical="center"/>
    </xf>
    <xf numFmtId="4" fontId="8" fillId="5" borderId="37" xfId="1" applyNumberFormat="1" applyFont="1" applyFill="1" applyBorder="1" applyAlignment="1">
      <alignment horizontal="right" vertical="center"/>
    </xf>
    <xf numFmtId="4" fontId="8" fillId="5" borderId="35" xfId="1" applyNumberFormat="1" applyFont="1" applyFill="1" applyBorder="1" applyAlignment="1">
      <alignment horizontal="right" vertical="center"/>
    </xf>
    <xf numFmtId="4" fontId="7" fillId="5" borderId="7" xfId="1" applyNumberFormat="1" applyFont="1" applyFill="1" applyBorder="1" applyAlignment="1">
      <alignment vertical="center"/>
    </xf>
    <xf numFmtId="164" fontId="9" fillId="5" borderId="7" xfId="1" applyNumberFormat="1" applyFont="1" applyFill="1" applyBorder="1" applyAlignment="1">
      <alignment horizontal="right" vertical="center"/>
    </xf>
    <xf numFmtId="164" fontId="7" fillId="5" borderId="7" xfId="1" applyNumberFormat="1" applyFont="1" applyFill="1" applyBorder="1" applyAlignment="1">
      <alignment horizontal="right" vertical="center"/>
    </xf>
    <xf numFmtId="4" fontId="8" fillId="5" borderId="37" xfId="1" applyNumberFormat="1" applyFont="1" applyFill="1" applyBorder="1" applyAlignment="1">
      <alignment vertical="center"/>
    </xf>
    <xf numFmtId="4" fontId="8" fillId="5" borderId="35" xfId="1" applyNumberFormat="1" applyFont="1" applyFill="1" applyBorder="1" applyAlignment="1">
      <alignment vertical="center"/>
    </xf>
    <xf numFmtId="4" fontId="8" fillId="5" borderId="27" xfId="1" applyNumberFormat="1" applyFont="1" applyFill="1" applyBorder="1" applyAlignment="1">
      <alignment vertical="center"/>
    </xf>
    <xf numFmtId="4" fontId="10" fillId="5" borderId="12" xfId="1" applyNumberFormat="1" applyFont="1" applyFill="1" applyBorder="1" applyAlignment="1">
      <alignment vertical="center"/>
    </xf>
    <xf numFmtId="4" fontId="8" fillId="5" borderId="12" xfId="1" applyNumberFormat="1" applyFont="1" applyFill="1" applyBorder="1" applyAlignment="1">
      <alignment vertical="center"/>
    </xf>
    <xf numFmtId="4" fontId="8" fillId="5" borderId="32" xfId="1" applyNumberFormat="1" applyFont="1" applyFill="1" applyBorder="1" applyAlignment="1">
      <alignment vertical="center"/>
    </xf>
    <xf numFmtId="164" fontId="7" fillId="5" borderId="27" xfId="1" applyNumberFormat="1" applyFont="1" applyFill="1" applyBorder="1" applyAlignment="1">
      <alignment vertical="center"/>
    </xf>
    <xf numFmtId="4" fontId="7" fillId="5" borderId="1" xfId="1" applyNumberFormat="1" applyFont="1" applyFill="1" applyBorder="1" applyAlignment="1">
      <alignment horizontal="right" vertical="center"/>
    </xf>
    <xf numFmtId="4" fontId="7" fillId="5" borderId="33" xfId="1" applyNumberFormat="1" applyFont="1" applyFill="1" applyBorder="1" applyAlignment="1">
      <alignment vertical="center"/>
    </xf>
    <xf numFmtId="164" fontId="10" fillId="5" borderId="10" xfId="1" applyNumberFormat="1" applyFont="1" applyFill="1" applyBorder="1" applyAlignment="1">
      <alignment vertical="center"/>
    </xf>
    <xf numFmtId="164" fontId="8" fillId="5" borderId="10" xfId="1" applyNumberFormat="1" applyFont="1" applyFill="1" applyBorder="1" applyAlignment="1">
      <alignment vertical="center"/>
    </xf>
    <xf numFmtId="164" fontId="7" fillId="5" borderId="10" xfId="1" applyNumberFormat="1" applyFont="1" applyFill="1" applyBorder="1" applyAlignment="1">
      <alignment vertical="center"/>
    </xf>
    <xf numFmtId="4" fontId="8" fillId="5" borderId="10" xfId="1" applyNumberFormat="1" applyFont="1" applyFill="1" applyBorder="1" applyAlignment="1">
      <alignment vertical="center"/>
    </xf>
    <xf numFmtId="4" fontId="7" fillId="5" borderId="3" xfId="1" applyNumberFormat="1" applyFont="1" applyFill="1" applyBorder="1" applyAlignment="1">
      <alignment vertical="center"/>
    </xf>
    <xf numFmtId="4" fontId="7" fillId="5" borderId="32" xfId="1" applyNumberFormat="1" applyFont="1" applyFill="1" applyBorder="1" applyAlignment="1">
      <alignment vertical="center"/>
    </xf>
    <xf numFmtId="164" fontId="9" fillId="5" borderId="12" xfId="1" applyNumberFormat="1" applyFont="1" applyFill="1" applyBorder="1" applyAlignment="1">
      <alignment vertical="center"/>
    </xf>
    <xf numFmtId="164" fontId="7" fillId="5" borderId="12" xfId="1" applyNumberFormat="1" applyFont="1" applyFill="1" applyBorder="1" applyAlignment="1">
      <alignment vertical="center"/>
    </xf>
    <xf numFmtId="4" fontId="7" fillId="5" borderId="11" xfId="1" applyNumberFormat="1" applyFont="1" applyFill="1" applyBorder="1" applyAlignment="1">
      <alignment horizontal="right" vertical="center"/>
    </xf>
    <xf numFmtId="4" fontId="9" fillId="5" borderId="3" xfId="1" applyNumberFormat="1" applyFont="1" applyFill="1" applyBorder="1" applyAlignment="1">
      <alignment vertical="center"/>
    </xf>
    <xf numFmtId="4" fontId="7" fillId="5" borderId="4" xfId="1" applyNumberFormat="1" applyFont="1" applyFill="1" applyBorder="1" applyAlignment="1">
      <alignment vertical="center"/>
    </xf>
    <xf numFmtId="4" fontId="7" fillId="5" borderId="30" xfId="1" applyNumberFormat="1" applyFont="1" applyFill="1" applyBorder="1" applyAlignment="1">
      <alignment vertical="center"/>
    </xf>
    <xf numFmtId="164" fontId="9" fillId="5" borderId="10" xfId="1" applyNumberFormat="1" applyFont="1" applyFill="1" applyBorder="1" applyAlignment="1">
      <alignment vertical="center"/>
    </xf>
    <xf numFmtId="4" fontId="7" fillId="5" borderId="0" xfId="1" applyNumberFormat="1" applyFont="1" applyFill="1" applyBorder="1" applyAlignment="1">
      <alignment vertical="center"/>
    </xf>
    <xf numFmtId="164" fontId="7" fillId="5" borderId="0" xfId="1" applyNumberFormat="1" applyFont="1" applyFill="1" applyBorder="1" applyAlignment="1">
      <alignment vertical="center"/>
    </xf>
    <xf numFmtId="164" fontId="7" fillId="5" borderId="11" xfId="1" applyNumberFormat="1" applyFont="1" applyFill="1" applyBorder="1" applyAlignment="1">
      <alignment horizontal="right" vertical="center"/>
    </xf>
    <xf numFmtId="4" fontId="7" fillId="5" borderId="29" xfId="1" applyNumberFormat="1" applyFont="1" applyFill="1" applyBorder="1" applyAlignment="1">
      <alignment vertical="center"/>
    </xf>
    <xf numFmtId="4" fontId="7" fillId="5" borderId="11" xfId="1" applyNumberFormat="1" applyFont="1" applyFill="1" applyBorder="1" applyAlignment="1">
      <alignment vertical="center"/>
    </xf>
    <xf numFmtId="164" fontId="7" fillId="5" borderId="29" xfId="1" applyNumberFormat="1" applyFont="1" applyFill="1" applyBorder="1" applyAlignment="1">
      <alignment vertical="center"/>
    </xf>
    <xf numFmtId="4" fontId="7" fillId="5" borderId="18" xfId="1" applyNumberFormat="1" applyFont="1" applyFill="1" applyBorder="1" applyAlignment="1">
      <alignment horizontal="right" vertical="center"/>
    </xf>
    <xf numFmtId="4" fontId="7" fillId="5" borderId="39" xfId="1" applyNumberFormat="1" applyFont="1" applyFill="1" applyBorder="1" applyAlignment="1">
      <alignment vertical="center"/>
    </xf>
    <xf numFmtId="4" fontId="7" fillId="5" borderId="5" xfId="1" applyNumberFormat="1" applyFont="1" applyFill="1" applyBorder="1" applyAlignment="1">
      <alignment vertical="center"/>
    </xf>
    <xf numFmtId="4" fontId="7" fillId="5" borderId="2" xfId="1" applyNumberFormat="1" applyFont="1" applyFill="1" applyBorder="1" applyAlignment="1">
      <alignment vertical="center"/>
    </xf>
    <xf numFmtId="4" fontId="7" fillId="5" borderId="28" xfId="1" applyNumberFormat="1" applyFont="1" applyFill="1" applyBorder="1" applyAlignment="1">
      <alignment vertical="center"/>
    </xf>
    <xf numFmtId="164" fontId="7" fillId="5" borderId="30" xfId="1" applyNumberFormat="1" applyFont="1" applyFill="1" applyBorder="1" applyAlignment="1">
      <alignment vertical="center"/>
    </xf>
    <xf numFmtId="164" fontId="9" fillId="5" borderId="7" xfId="1" applyNumberFormat="1" applyFont="1" applyFill="1" applyBorder="1" applyAlignment="1">
      <alignment vertical="center"/>
    </xf>
    <xf numFmtId="164" fontId="7" fillId="5" borderId="7" xfId="1" applyNumberFormat="1" applyFont="1" applyFill="1" applyBorder="1" applyAlignment="1">
      <alignment vertical="center"/>
    </xf>
    <xf numFmtId="4" fontId="7" fillId="5" borderId="31" xfId="1" applyNumberFormat="1" applyFont="1" applyFill="1" applyBorder="1" applyAlignment="1">
      <alignment vertical="center"/>
    </xf>
    <xf numFmtId="4" fontId="9" fillId="5" borderId="7" xfId="1" applyNumberFormat="1" applyFont="1" applyFill="1" applyBorder="1" applyAlignment="1">
      <alignment vertical="center"/>
    </xf>
    <xf numFmtId="4" fontId="7" fillId="5" borderId="0" xfId="1" applyNumberFormat="1" applyFont="1" applyFill="1" applyBorder="1" applyAlignment="1">
      <alignment horizontal="right" vertical="center"/>
    </xf>
    <xf numFmtId="164" fontId="9" fillId="5" borderId="11" xfId="1" applyNumberFormat="1" applyFont="1" applyFill="1" applyBorder="1" applyAlignment="1">
      <alignment vertical="center"/>
    </xf>
    <xf numFmtId="164" fontId="9" fillId="5" borderId="1" xfId="1" applyNumberFormat="1" applyFont="1" applyFill="1" applyBorder="1" applyAlignment="1">
      <alignment vertical="center"/>
    </xf>
    <xf numFmtId="164" fontId="7" fillId="5" borderId="11" xfId="1" applyNumberFormat="1" applyFont="1" applyFill="1" applyBorder="1" applyAlignment="1">
      <alignment vertical="center"/>
    </xf>
    <xf numFmtId="164" fontId="7" fillId="5" borderId="1" xfId="1" applyNumberFormat="1" applyFont="1" applyFill="1" applyBorder="1" applyAlignment="1">
      <alignment vertical="center"/>
    </xf>
    <xf numFmtId="164" fontId="7" fillId="5" borderId="39" xfId="1" applyNumberFormat="1" applyFont="1" applyFill="1" applyBorder="1" applyAlignment="1">
      <alignment vertical="center"/>
    </xf>
    <xf numFmtId="164" fontId="7" fillId="5" borderId="26" xfId="1" applyNumberFormat="1" applyFont="1" applyFill="1" applyBorder="1" applyAlignment="1">
      <alignment vertical="center"/>
    </xf>
    <xf numFmtId="164" fontId="8" fillId="5" borderId="17" xfId="1" applyNumberFormat="1" applyFont="1" applyFill="1" applyBorder="1" applyAlignment="1">
      <alignment horizontal="right" vertical="center"/>
    </xf>
    <xf numFmtId="164" fontId="10" fillId="5" borderId="17" xfId="1" applyNumberFormat="1" applyFont="1" applyFill="1" applyBorder="1" applyAlignment="1">
      <alignment horizontal="right" vertical="center"/>
    </xf>
    <xf numFmtId="164" fontId="8" fillId="5" borderId="41" xfId="1" applyNumberFormat="1" applyFont="1" applyFill="1" applyBorder="1" applyAlignment="1">
      <alignment horizontal="right" vertical="center"/>
    </xf>
    <xf numFmtId="4" fontId="8" fillId="5" borderId="17" xfId="1" applyNumberFormat="1" applyFont="1" applyFill="1" applyBorder="1" applyAlignment="1">
      <alignment horizontal="right" vertical="center"/>
    </xf>
    <xf numFmtId="164" fontId="9" fillId="5" borderId="1" xfId="1" applyNumberFormat="1" applyFont="1" applyFill="1" applyBorder="1" applyAlignment="1">
      <alignment horizontal="right" vertical="center"/>
    </xf>
    <xf numFmtId="164" fontId="7" fillId="5" borderId="2" xfId="1" applyNumberFormat="1" applyFont="1" applyFill="1" applyBorder="1" applyAlignment="1">
      <alignment horizontal="right" vertical="center"/>
    </xf>
    <xf numFmtId="164" fontId="9" fillId="5" borderId="2" xfId="1" applyNumberFormat="1" applyFont="1" applyFill="1" applyBorder="1" applyAlignment="1">
      <alignment horizontal="right" vertical="center"/>
    </xf>
    <xf numFmtId="164" fontId="7" fillId="5" borderId="28" xfId="1" applyNumberFormat="1" applyFont="1" applyFill="1" applyBorder="1" applyAlignment="1">
      <alignment horizontal="right" vertical="center"/>
    </xf>
    <xf numFmtId="4" fontId="7" fillId="5" borderId="8" xfId="1" applyNumberFormat="1" applyFont="1" applyFill="1" applyBorder="1" applyAlignment="1">
      <alignment vertical="center"/>
    </xf>
    <xf numFmtId="164" fontId="7" fillId="5" borderId="24" xfId="1" applyNumberFormat="1" applyFont="1" applyFill="1" applyBorder="1" applyAlignment="1">
      <alignment horizontal="right" vertical="center"/>
    </xf>
    <xf numFmtId="164" fontId="9" fillId="5" borderId="8" xfId="1" applyNumberFormat="1" applyFont="1" applyFill="1" applyBorder="1" applyAlignment="1">
      <alignment horizontal="right" vertical="center"/>
    </xf>
    <xf numFmtId="164" fontId="7" fillId="5" borderId="8" xfId="1" applyNumberFormat="1" applyFont="1" applyFill="1" applyBorder="1" applyAlignment="1">
      <alignment horizontal="right" vertical="center"/>
    </xf>
    <xf numFmtId="164" fontId="7" fillId="5" borderId="25" xfId="1" applyNumberFormat="1" applyFont="1" applyFill="1" applyBorder="1" applyAlignment="1">
      <alignment horizontal="right" vertical="center"/>
    </xf>
    <xf numFmtId="4" fontId="7" fillId="5" borderId="24" xfId="1" applyNumberFormat="1" applyFont="1" applyFill="1" applyBorder="1" applyAlignment="1">
      <alignment horizontal="right" vertical="center"/>
    </xf>
    <xf numFmtId="4" fontId="9" fillId="5" borderId="8" xfId="1" applyNumberFormat="1" applyFont="1" applyFill="1" applyBorder="1" applyAlignment="1">
      <alignment vertical="center"/>
    </xf>
    <xf numFmtId="164" fontId="7" fillId="5" borderId="24" xfId="1" applyNumberFormat="1" applyFont="1" applyFill="1" applyBorder="1" applyAlignment="1">
      <alignment vertical="center"/>
    </xf>
    <xf numFmtId="164" fontId="9" fillId="5" borderId="8" xfId="1" applyNumberFormat="1" applyFont="1" applyFill="1" applyBorder="1" applyAlignment="1">
      <alignment vertical="center"/>
    </xf>
    <xf numFmtId="4" fontId="7" fillId="5" borderId="24" xfId="1" applyNumberFormat="1" applyFont="1" applyFill="1" applyBorder="1" applyAlignment="1">
      <alignment vertical="center"/>
    </xf>
    <xf numFmtId="164" fontId="9" fillId="5" borderId="6" xfId="1" applyNumberFormat="1" applyFont="1" applyFill="1" applyBorder="1" applyAlignment="1">
      <alignment horizontal="right" vertical="center"/>
    </xf>
    <xf numFmtId="164" fontId="7" fillId="5" borderId="34" xfId="1" applyNumberFormat="1" applyFont="1" applyFill="1" applyBorder="1" applyAlignment="1">
      <alignment horizontal="right" vertical="center"/>
    </xf>
    <xf numFmtId="4" fontId="7" fillId="5" borderId="6" xfId="1" applyNumberFormat="1" applyFont="1" applyFill="1" applyBorder="1" applyAlignment="1">
      <alignment horizontal="right" vertical="center"/>
    </xf>
    <xf numFmtId="164" fontId="9" fillId="5" borderId="11" xfId="1" applyNumberFormat="1" applyFont="1" applyFill="1" applyBorder="1" applyAlignment="1">
      <alignment horizontal="right" vertical="center"/>
    </xf>
    <xf numFmtId="164" fontId="7" fillId="5" borderId="39" xfId="1" applyNumberFormat="1" applyFont="1" applyFill="1" applyBorder="1" applyAlignment="1">
      <alignment horizontal="right" vertical="center"/>
    </xf>
    <xf numFmtId="164" fontId="7" fillId="5" borderId="31" xfId="1" applyNumberFormat="1" applyFont="1" applyFill="1" applyBorder="1" applyAlignment="1">
      <alignment horizontal="right" vertical="center"/>
    </xf>
    <xf numFmtId="164" fontId="8" fillId="5" borderId="37" xfId="1" applyNumberFormat="1" applyFont="1" applyFill="1" applyBorder="1" applyAlignment="1">
      <alignment horizontal="right" vertical="center"/>
    </xf>
    <xf numFmtId="4" fontId="8" fillId="5" borderId="16" xfId="1" applyNumberFormat="1" applyFont="1" applyFill="1" applyBorder="1" applyAlignment="1">
      <alignment horizontal="right" vertical="center"/>
    </xf>
    <xf numFmtId="164" fontId="8" fillId="5" borderId="12" xfId="1" applyNumberFormat="1" applyFont="1" applyFill="1" applyBorder="1" applyAlignment="1">
      <alignment horizontal="right" vertical="center"/>
    </xf>
    <xf numFmtId="164" fontId="8" fillId="5" borderId="32" xfId="1" applyNumberFormat="1" applyFont="1" applyFill="1" applyBorder="1" applyAlignment="1">
      <alignment horizontal="right" vertical="center"/>
    </xf>
    <xf numFmtId="164" fontId="7" fillId="5" borderId="33" xfId="1" applyNumberFormat="1" applyFont="1" applyFill="1" applyBorder="1" applyAlignment="1">
      <alignment horizontal="right" vertical="center"/>
    </xf>
    <xf numFmtId="4" fontId="9" fillId="5" borderId="1" xfId="1" applyNumberFormat="1" applyFont="1" applyFill="1" applyBorder="1" applyAlignment="1">
      <alignment vertical="center"/>
    </xf>
    <xf numFmtId="4" fontId="7" fillId="5" borderId="18" xfId="1" applyNumberFormat="1" applyFont="1" applyFill="1" applyBorder="1" applyAlignment="1">
      <alignment vertical="center"/>
    </xf>
    <xf numFmtId="4" fontId="8" fillId="5" borderId="41" xfId="1" applyNumberFormat="1" applyFont="1" applyFill="1" applyBorder="1" applyAlignment="1">
      <alignment horizontal="right" vertical="center"/>
    </xf>
    <xf numFmtId="4" fontId="7" fillId="5" borderId="26" xfId="1" applyNumberFormat="1" applyFont="1" applyFill="1" applyBorder="1" applyAlignment="1">
      <alignment horizontal="right" vertical="center"/>
    </xf>
    <xf numFmtId="4" fontId="9" fillId="5" borderId="11" xfId="1" applyNumberFormat="1" applyFont="1" applyFill="1" applyBorder="1" applyAlignment="1">
      <alignment vertical="center"/>
    </xf>
    <xf numFmtId="4" fontId="7" fillId="5" borderId="39" xfId="1" applyNumberFormat="1" applyFont="1" applyFill="1" applyBorder="1" applyAlignment="1">
      <alignment horizontal="right" vertical="center"/>
    </xf>
    <xf numFmtId="4" fontId="9" fillId="5" borderId="2" xfId="1" applyNumberFormat="1" applyFont="1" applyFill="1" applyBorder="1" applyAlignment="1">
      <alignment vertical="center"/>
    </xf>
    <xf numFmtId="4" fontId="9" fillId="5" borderId="0" xfId="1" applyNumberFormat="1" applyFont="1" applyFill="1" applyBorder="1" applyAlignment="1">
      <alignment vertical="center"/>
    </xf>
    <xf numFmtId="4" fontId="8" fillId="5" borderId="29" xfId="1" applyNumberFormat="1" applyFont="1" applyFill="1" applyBorder="1" applyAlignment="1">
      <alignment horizontal="right" vertical="center"/>
    </xf>
    <xf numFmtId="4" fontId="10" fillId="5" borderId="11" xfId="1" applyNumberFormat="1" applyFont="1" applyFill="1" applyBorder="1" applyAlignment="1">
      <alignment horizontal="right" vertical="center"/>
    </xf>
    <xf numFmtId="4" fontId="8" fillId="5" borderId="11" xfId="1" applyNumberFormat="1" applyFont="1" applyFill="1" applyBorder="1" applyAlignment="1">
      <alignment horizontal="right" vertical="center"/>
    </xf>
    <xf numFmtId="4" fontId="8" fillId="5" borderId="39" xfId="1" applyNumberFormat="1" applyFont="1" applyFill="1" applyBorder="1" applyAlignment="1">
      <alignment horizontal="right" vertical="center"/>
    </xf>
    <xf numFmtId="164" fontId="8" fillId="5" borderId="29" xfId="1" applyNumberFormat="1" applyFont="1" applyFill="1" applyBorder="1" applyAlignment="1">
      <alignment horizontal="right" vertical="center"/>
    </xf>
    <xf numFmtId="4" fontId="8" fillId="5" borderId="12" xfId="1" applyNumberFormat="1" applyFont="1" applyFill="1" applyBorder="1" applyAlignment="1">
      <alignment horizontal="right" vertical="center"/>
    </xf>
    <xf numFmtId="4" fontId="8" fillId="5" borderId="32" xfId="1" applyNumberFormat="1" applyFont="1" applyFill="1" applyBorder="1" applyAlignment="1">
      <alignment horizontal="right" vertical="center"/>
    </xf>
    <xf numFmtId="4" fontId="9" fillId="5" borderId="1" xfId="1" applyNumberFormat="1" applyFont="1" applyFill="1" applyBorder="1" applyAlignment="1">
      <alignment horizontal="right" vertical="center"/>
    </xf>
    <xf numFmtId="4" fontId="9" fillId="5" borderId="2" xfId="1" applyNumberFormat="1" applyFont="1" applyFill="1" applyBorder="1" applyAlignment="1">
      <alignment horizontal="right" vertical="center"/>
    </xf>
    <xf numFmtId="4" fontId="9" fillId="5" borderId="11" xfId="1" applyNumberFormat="1" applyFont="1" applyFill="1" applyBorder="1" applyAlignment="1">
      <alignment horizontal="right" vertical="center"/>
    </xf>
    <xf numFmtId="4" fontId="7" fillId="5" borderId="15" xfId="1" applyNumberFormat="1" applyFont="1" applyFill="1" applyBorder="1" applyAlignment="1">
      <alignment vertical="center"/>
    </xf>
    <xf numFmtId="164" fontId="8" fillId="5" borderId="35" xfId="1" applyNumberFormat="1" applyFont="1" applyFill="1" applyBorder="1" applyAlignment="1">
      <alignment vertical="center"/>
    </xf>
    <xf numFmtId="164" fontId="10" fillId="5" borderId="16" xfId="1" applyNumberFormat="1" applyFont="1" applyFill="1" applyBorder="1" applyAlignment="1">
      <alignment vertical="center"/>
    </xf>
    <xf numFmtId="164" fontId="8" fillId="5" borderId="16" xfId="1" applyNumberFormat="1" applyFont="1" applyFill="1" applyBorder="1" applyAlignment="1">
      <alignment vertical="center"/>
    </xf>
    <xf numFmtId="4" fontId="11" fillId="5" borderId="27" xfId="1" applyNumberFormat="1" applyFont="1" applyFill="1" applyBorder="1" applyAlignment="1">
      <alignment vertical="center"/>
    </xf>
    <xf numFmtId="4" fontId="7" fillId="5" borderId="23" xfId="1" applyNumberFormat="1" applyFont="1" applyFill="1" applyBorder="1" applyAlignment="1">
      <alignment vertical="center"/>
    </xf>
    <xf numFmtId="164" fontId="9" fillId="5" borderId="6" xfId="1" applyNumberFormat="1" applyFont="1" applyFill="1" applyBorder="1" applyAlignment="1">
      <alignment vertical="center"/>
    </xf>
    <xf numFmtId="164" fontId="7" fillId="5" borderId="6" xfId="1" applyNumberFormat="1" applyFont="1" applyFill="1" applyBorder="1" applyAlignment="1">
      <alignment horizontal="right" vertical="center"/>
    </xf>
    <xf numFmtId="4" fontId="7" fillId="5" borderId="34" xfId="1" applyNumberFormat="1" applyFont="1" applyFill="1" applyBorder="1" applyAlignment="1">
      <alignment horizontal="right" vertical="center"/>
    </xf>
    <xf numFmtId="4" fontId="8" fillId="5" borderId="8" xfId="1" applyNumberFormat="1" applyFont="1" applyFill="1" applyBorder="1" applyAlignment="1">
      <alignment vertical="center"/>
    </xf>
    <xf numFmtId="4" fontId="8" fillId="5" borderId="23" xfId="1" applyNumberFormat="1" applyFont="1" applyFill="1" applyBorder="1" applyAlignment="1">
      <alignment vertical="center"/>
    </xf>
    <xf numFmtId="164" fontId="8" fillId="5" borderId="24" xfId="1" applyNumberFormat="1" applyFont="1" applyFill="1" applyBorder="1" applyAlignment="1">
      <alignment vertical="center"/>
    </xf>
    <xf numFmtId="164" fontId="10" fillId="5" borderId="6" xfId="1" applyNumberFormat="1" applyFont="1" applyFill="1" applyBorder="1" applyAlignment="1">
      <alignment vertical="center"/>
    </xf>
    <xf numFmtId="164" fontId="8" fillId="5" borderId="6" xfId="1" applyNumberFormat="1" applyFont="1" applyFill="1" applyBorder="1" applyAlignment="1">
      <alignment horizontal="right" vertical="center"/>
    </xf>
    <xf numFmtId="4" fontId="8" fillId="5" borderId="34" xfId="1" applyNumberFormat="1" applyFont="1" applyFill="1" applyBorder="1" applyAlignment="1">
      <alignment horizontal="right" vertical="center"/>
    </xf>
    <xf numFmtId="4" fontId="8" fillId="5" borderId="24" xfId="1" applyNumberFormat="1" applyFont="1" applyFill="1" applyBorder="1" applyAlignment="1">
      <alignment vertical="center"/>
    </xf>
    <xf numFmtId="164" fontId="10" fillId="5" borderId="11" xfId="1" applyNumberFormat="1" applyFont="1" applyFill="1" applyBorder="1" applyAlignment="1">
      <alignment horizontal="right" vertical="center"/>
    </xf>
    <xf numFmtId="164" fontId="8" fillId="5" borderId="11" xfId="1" applyNumberFormat="1" applyFont="1" applyFill="1" applyBorder="1" applyAlignment="1">
      <alignment horizontal="right" vertical="center"/>
    </xf>
    <xf numFmtId="4" fontId="8" fillId="5" borderId="33" xfId="1" applyNumberFormat="1" applyFont="1" applyFill="1" applyBorder="1" applyAlignment="1">
      <alignment horizontal="right" vertical="center"/>
    </xf>
    <xf numFmtId="4" fontId="7" fillId="0" borderId="9" xfId="1" applyNumberFormat="1" applyFont="1" applyFill="1" applyBorder="1" applyAlignment="1">
      <alignment horizontal="center" vertical="center"/>
    </xf>
    <xf numFmtId="4" fontId="7" fillId="0" borderId="23" xfId="1" applyNumberFormat="1" applyFont="1" applyFill="1" applyBorder="1" applyAlignment="1">
      <alignment horizontal="center" vertical="center"/>
    </xf>
    <xf numFmtId="14" fontId="7" fillId="0" borderId="10" xfId="1" applyNumberFormat="1" applyFont="1" applyFill="1" applyBorder="1" applyAlignment="1">
      <alignment horizontal="center" vertical="center"/>
    </xf>
    <xf numFmtId="14" fontId="7" fillId="0" borderId="7" xfId="1" applyNumberFormat="1" applyFont="1" applyFill="1" applyBorder="1" applyAlignment="1">
      <alignment horizontal="center" vertical="center"/>
    </xf>
    <xf numFmtId="14" fontId="7" fillId="0" borderId="18" xfId="1" applyNumberFormat="1" applyFont="1" applyFill="1" applyBorder="1" applyAlignment="1">
      <alignment horizontal="center" vertical="center" wrapText="1"/>
    </xf>
    <xf numFmtId="14" fontId="7" fillId="0" borderId="5" xfId="1" applyNumberFormat="1" applyFont="1" applyFill="1" applyBorder="1" applyAlignment="1">
      <alignment horizontal="center" vertical="center" wrapText="1"/>
    </xf>
    <xf numFmtId="4" fontId="7" fillId="0" borderId="15" xfId="1" applyNumberFormat="1" applyFont="1" applyFill="1" applyBorder="1" applyAlignment="1">
      <alignment horizontal="center" vertical="center" wrapText="1"/>
    </xf>
    <xf numFmtId="4" fontId="7" fillId="0" borderId="3" xfId="1" applyNumberFormat="1" applyFont="1" applyFill="1" applyBorder="1" applyAlignment="1">
      <alignment horizontal="center" vertical="center" wrapText="1"/>
    </xf>
    <xf numFmtId="4" fontId="7" fillId="0" borderId="4" xfId="1" applyNumberFormat="1" applyFont="1" applyFill="1" applyBorder="1" applyAlignment="1">
      <alignment horizontal="center" vertical="center" wrapText="1"/>
    </xf>
    <xf numFmtId="4" fontId="7" fillId="5" borderId="40" xfId="1" applyNumberFormat="1" applyFont="1" applyFill="1" applyBorder="1" applyAlignment="1">
      <alignment horizontal="center" vertical="center"/>
    </xf>
    <xf numFmtId="4" fontId="7" fillId="5" borderId="23" xfId="1" applyNumberFormat="1" applyFont="1" applyFill="1" applyBorder="1" applyAlignment="1">
      <alignment horizontal="center" vertical="center"/>
    </xf>
    <xf numFmtId="4" fontId="7" fillId="5" borderId="6" xfId="1" applyNumberFormat="1" applyFont="1" applyFill="1" applyBorder="1" applyAlignment="1">
      <alignment horizontal="center" vertical="center"/>
    </xf>
    <xf numFmtId="4" fontId="7" fillId="0" borderId="40" xfId="1" applyNumberFormat="1" applyFont="1" applyFill="1" applyBorder="1" applyAlignment="1">
      <alignment horizontal="center" vertical="center" wrapText="1"/>
    </xf>
    <xf numFmtId="4" fontId="7" fillId="0" borderId="23" xfId="1" applyNumberFormat="1" applyFont="1" applyFill="1" applyBorder="1" applyAlignment="1">
      <alignment horizontal="center" vertical="center" wrapText="1"/>
    </xf>
    <xf numFmtId="4" fontId="7" fillId="0" borderId="6" xfId="1" applyNumberFormat="1" applyFont="1" applyFill="1" applyBorder="1" applyAlignment="1">
      <alignment horizontal="center" vertical="center" wrapText="1"/>
    </xf>
    <xf numFmtId="4" fontId="7" fillId="0" borderId="33" xfId="1" applyNumberFormat="1" applyFont="1" applyFill="1" applyBorder="1" applyAlignment="1">
      <alignment horizontal="center" vertical="center" wrapText="1"/>
    </xf>
    <xf numFmtId="4" fontId="7" fillId="0" borderId="31" xfId="1" applyNumberFormat="1" applyFont="1" applyFill="1" applyBorder="1" applyAlignment="1">
      <alignment horizontal="center" vertical="center" wrapText="1"/>
    </xf>
    <xf numFmtId="4" fontId="7" fillId="0" borderId="10" xfId="1" applyNumberFormat="1" applyFont="1" applyFill="1" applyBorder="1" applyAlignment="1">
      <alignment horizontal="center" vertical="center" wrapText="1"/>
    </xf>
    <xf numFmtId="4" fontId="7" fillId="0" borderId="7" xfId="1" applyNumberFormat="1" applyFont="1" applyFill="1" applyBorder="1" applyAlignment="1">
      <alignment horizontal="center" vertical="center" wrapText="1"/>
    </xf>
    <xf numFmtId="4" fontId="7" fillId="0" borderId="40" xfId="1" applyNumberFormat="1" applyFont="1" applyFill="1" applyBorder="1" applyAlignment="1">
      <alignment horizontal="center" vertical="center"/>
    </xf>
    <xf numFmtId="4" fontId="7" fillId="0" borderId="34" xfId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_A12.Zał. Nr 6-2005.BIP" xfId="1" xr:uid="{00000000-0005-0000-0000-000001000000}"/>
    <cellStyle name="Normalny_Zał Nr 7.1-05" xfId="2" xr:uid="{00000000-0005-0000-0000-000002000000}"/>
  </cellStyles>
  <dxfs count="0"/>
  <tableStyles count="0" defaultTableStyle="TableStyleMedium2" defaultPivotStyle="PivotStyleLight16"/>
  <colors>
    <mruColors>
      <color rgb="FF99FFCC"/>
      <color rgb="FF00FF99"/>
      <color rgb="FF66FFFF"/>
      <color rgb="FF00FFFF"/>
      <color rgb="FFCCFFFF"/>
      <color rgb="FF0099FF"/>
      <color rgb="FF66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430"/>
  <sheetViews>
    <sheetView showGridLines="0" tabSelected="1" topLeftCell="A5" zoomScale="80" zoomScaleNormal="80" zoomScaleSheetLayoutView="70" workbookViewId="0">
      <selection activeCell="I5" sqref="I5"/>
    </sheetView>
  </sheetViews>
  <sheetFormatPr defaultColWidth="23.5703125" defaultRowHeight="15" x14ac:dyDescent="0.2"/>
  <cols>
    <col min="1" max="1" width="7.28515625" style="135" customWidth="1"/>
    <col min="2" max="2" width="10.42578125" style="135" bestFit="1" customWidth="1"/>
    <col min="3" max="3" width="72.140625" style="135" customWidth="1"/>
    <col min="4" max="4" width="12.85546875" style="174" customWidth="1"/>
    <col min="5" max="5" width="18.28515625" style="167" customWidth="1"/>
    <col min="6" max="6" width="16.7109375" style="167" hidden="1" customWidth="1"/>
    <col min="7" max="8" width="16.7109375" style="167" customWidth="1"/>
    <col min="9" max="9" width="18.140625" style="167" customWidth="1"/>
    <col min="10" max="11" width="18.140625" style="167" hidden="1" customWidth="1"/>
    <col min="12" max="14" width="18.140625" style="167" customWidth="1"/>
    <col min="15" max="16" width="17.7109375" style="167" hidden="1" customWidth="1"/>
    <col min="17" max="18" width="17.7109375" style="167" customWidth="1"/>
    <col min="19" max="19" width="20.140625" style="167" customWidth="1"/>
    <col min="20" max="20" width="19.5703125" style="167" customWidth="1"/>
    <col min="21" max="16384" width="23.5703125" style="167"/>
  </cols>
  <sheetData>
    <row r="1" spans="1:18" ht="21.75" customHeight="1" x14ac:dyDescent="0.2">
      <c r="A1" s="5" t="s">
        <v>84</v>
      </c>
      <c r="B1" s="5"/>
      <c r="C1" s="5"/>
      <c r="D1" s="2"/>
      <c r="E1" s="2"/>
    </row>
    <row r="2" spans="1:18" ht="13.5" customHeight="1" x14ac:dyDescent="0.2">
      <c r="A2" s="210"/>
      <c r="B2" s="168"/>
      <c r="C2" s="168"/>
      <c r="D2" s="6"/>
      <c r="E2" s="169"/>
      <c r="F2" s="170"/>
      <c r="G2" s="170"/>
      <c r="H2" s="170"/>
      <c r="I2" s="170"/>
      <c r="J2" s="170"/>
      <c r="K2" s="170"/>
      <c r="L2" s="170"/>
      <c r="M2" s="170"/>
      <c r="R2" s="289" t="s">
        <v>3</v>
      </c>
    </row>
    <row r="3" spans="1:18" ht="17.100000000000001" customHeight="1" x14ac:dyDescent="0.2">
      <c r="A3" s="7"/>
      <c r="B3" s="7"/>
      <c r="C3" s="1"/>
      <c r="D3" s="8"/>
      <c r="E3" s="465" t="s">
        <v>6</v>
      </c>
      <c r="F3" s="466"/>
      <c r="G3" s="466"/>
      <c r="H3" s="471" t="s">
        <v>118</v>
      </c>
      <c r="I3" s="484" t="s">
        <v>115</v>
      </c>
      <c r="J3" s="466"/>
      <c r="K3" s="466"/>
      <c r="L3" s="466"/>
      <c r="M3" s="485"/>
      <c r="N3" s="474" t="s">
        <v>114</v>
      </c>
      <c r="O3" s="475"/>
      <c r="P3" s="475"/>
      <c r="Q3" s="475"/>
      <c r="R3" s="476"/>
    </row>
    <row r="4" spans="1:18" ht="17.100000000000001" customHeight="1" x14ac:dyDescent="0.2">
      <c r="A4" s="9" t="s">
        <v>4</v>
      </c>
      <c r="B4" s="9" t="s">
        <v>5</v>
      </c>
      <c r="C4" s="211"/>
      <c r="D4" s="10" t="s">
        <v>6</v>
      </c>
      <c r="E4" s="467">
        <v>44927</v>
      </c>
      <c r="F4" s="214" t="s">
        <v>82</v>
      </c>
      <c r="G4" s="469">
        <v>45291</v>
      </c>
      <c r="H4" s="472"/>
      <c r="I4" s="477" t="s">
        <v>6</v>
      </c>
      <c r="J4" s="478"/>
      <c r="K4" s="478"/>
      <c r="L4" s="479"/>
      <c r="M4" s="480" t="s">
        <v>118</v>
      </c>
      <c r="N4" s="477" t="s">
        <v>6</v>
      </c>
      <c r="O4" s="478"/>
      <c r="P4" s="478"/>
      <c r="Q4" s="479"/>
      <c r="R4" s="482" t="s">
        <v>118</v>
      </c>
    </row>
    <row r="5" spans="1:18" ht="17.100000000000001" customHeight="1" x14ac:dyDescent="0.2">
      <c r="A5" s="9"/>
      <c r="B5" s="9"/>
      <c r="C5" s="211"/>
      <c r="D5" s="212"/>
      <c r="E5" s="468"/>
      <c r="F5" s="215"/>
      <c r="G5" s="470"/>
      <c r="H5" s="473"/>
      <c r="I5" s="249">
        <v>44927</v>
      </c>
      <c r="J5" s="250"/>
      <c r="K5" s="250"/>
      <c r="L5" s="251">
        <v>45291</v>
      </c>
      <c r="M5" s="481"/>
      <c r="N5" s="249">
        <v>44927</v>
      </c>
      <c r="O5" s="252"/>
      <c r="P5" s="252"/>
      <c r="Q5" s="251">
        <v>45291</v>
      </c>
      <c r="R5" s="483"/>
    </row>
    <row r="6" spans="1:18" ht="12.75" customHeight="1" x14ac:dyDescent="0.2">
      <c r="A6" s="3">
        <v>1</v>
      </c>
      <c r="B6" s="3">
        <v>2</v>
      </c>
      <c r="C6" s="188">
        <v>3</v>
      </c>
      <c r="D6" s="189">
        <v>4</v>
      </c>
      <c r="E6" s="189">
        <v>5</v>
      </c>
      <c r="F6" s="190">
        <v>6</v>
      </c>
      <c r="G6" s="190">
        <v>6</v>
      </c>
      <c r="H6" s="190">
        <v>7</v>
      </c>
      <c r="I6" s="219">
        <v>8</v>
      </c>
      <c r="J6" s="191">
        <v>7</v>
      </c>
      <c r="K6" s="191">
        <v>8</v>
      </c>
      <c r="L6" s="192">
        <v>9</v>
      </c>
      <c r="M6" s="220">
        <v>10</v>
      </c>
      <c r="N6" s="219">
        <v>11</v>
      </c>
      <c r="O6" s="171">
        <v>11</v>
      </c>
      <c r="P6" s="171">
        <v>12</v>
      </c>
      <c r="Q6" s="189">
        <v>12</v>
      </c>
      <c r="R6" s="189">
        <v>13</v>
      </c>
    </row>
    <row r="7" spans="1:18" ht="16.5" hidden="1" customHeight="1" x14ac:dyDescent="0.2">
      <c r="A7" s="12" t="s">
        <v>9</v>
      </c>
      <c r="B7" s="13"/>
      <c r="C7" s="14" t="s">
        <v>10</v>
      </c>
      <c r="D7" s="15" t="s">
        <v>7</v>
      </c>
      <c r="E7" s="16">
        <f>SUM(E9)</f>
        <v>0</v>
      </c>
      <c r="F7" s="172"/>
      <c r="G7" s="172"/>
      <c r="H7" s="172"/>
      <c r="I7" s="221"/>
      <c r="J7" s="126"/>
      <c r="K7" s="126"/>
      <c r="L7" s="105"/>
      <c r="M7" s="222"/>
      <c r="N7" s="221"/>
      <c r="O7" s="17"/>
      <c r="P7" s="17"/>
      <c r="Q7" s="18"/>
      <c r="R7" s="18"/>
    </row>
    <row r="8" spans="1:18" ht="14.25" hidden="1" customHeight="1" x14ac:dyDescent="0.2">
      <c r="A8" s="19"/>
      <c r="B8" s="9"/>
      <c r="C8" s="20"/>
      <c r="D8" s="21" t="s">
        <v>8</v>
      </c>
      <c r="E8" s="22"/>
      <c r="F8" s="172"/>
      <c r="G8" s="172"/>
      <c r="H8" s="172"/>
      <c r="I8" s="221"/>
      <c r="J8" s="126"/>
      <c r="K8" s="126"/>
      <c r="L8" s="105"/>
      <c r="M8" s="222"/>
      <c r="N8" s="221"/>
      <c r="O8" s="17"/>
      <c r="P8" s="17"/>
      <c r="Q8" s="18"/>
      <c r="R8" s="18"/>
    </row>
    <row r="9" spans="1:18" ht="15" hidden="1" customHeight="1" x14ac:dyDescent="0.2">
      <c r="A9" s="19"/>
      <c r="B9" s="11"/>
      <c r="C9" s="23"/>
      <c r="D9" s="24" t="s">
        <v>11</v>
      </c>
      <c r="E9" s="25">
        <f>SUM(E12)</f>
        <v>0</v>
      </c>
      <c r="F9" s="172"/>
      <c r="G9" s="172"/>
      <c r="H9" s="172"/>
      <c r="I9" s="221"/>
      <c r="J9" s="126"/>
      <c r="K9" s="126"/>
      <c r="L9" s="105"/>
      <c r="M9" s="222"/>
      <c r="N9" s="221"/>
      <c r="O9" s="17"/>
      <c r="P9" s="17"/>
      <c r="Q9" s="18"/>
      <c r="R9" s="18"/>
    </row>
    <row r="10" spans="1:18" ht="16.5" hidden="1" customHeight="1" x14ac:dyDescent="0.2">
      <c r="A10" s="19"/>
      <c r="B10" s="13" t="s">
        <v>12</v>
      </c>
      <c r="C10" s="26" t="s">
        <v>13</v>
      </c>
      <c r="D10" s="27" t="s">
        <v>7</v>
      </c>
      <c r="E10" s="22">
        <f>SUM(E12)</f>
        <v>0</v>
      </c>
      <c r="F10" s="172"/>
      <c r="G10" s="172"/>
      <c r="H10" s="172"/>
      <c r="I10" s="221"/>
      <c r="J10" s="126"/>
      <c r="K10" s="126"/>
      <c r="L10" s="105"/>
      <c r="M10" s="222"/>
      <c r="N10" s="221"/>
      <c r="O10" s="17"/>
      <c r="P10" s="17"/>
      <c r="Q10" s="18"/>
      <c r="R10" s="18"/>
    </row>
    <row r="11" spans="1:18" ht="15" hidden="1" customHeight="1" x14ac:dyDescent="0.2">
      <c r="A11" s="19"/>
      <c r="B11" s="9"/>
      <c r="C11" s="20"/>
      <c r="D11" s="27" t="s">
        <v>8</v>
      </c>
      <c r="E11" s="22"/>
      <c r="F11" s="172"/>
      <c r="G11" s="172"/>
      <c r="H11" s="172"/>
      <c r="I11" s="221"/>
      <c r="J11" s="126"/>
      <c r="K11" s="126"/>
      <c r="L11" s="105"/>
      <c r="M11" s="222"/>
      <c r="N11" s="221"/>
      <c r="O11" s="17"/>
      <c r="P11" s="17"/>
      <c r="Q11" s="18"/>
      <c r="R11" s="18"/>
    </row>
    <row r="12" spans="1:18" ht="14.25" hidden="1" customHeight="1" x14ac:dyDescent="0.2">
      <c r="A12" s="19"/>
      <c r="B12" s="9"/>
      <c r="C12" s="20"/>
      <c r="D12" s="28" t="s">
        <v>11</v>
      </c>
      <c r="E12" s="29"/>
      <c r="F12" s="172"/>
      <c r="G12" s="172"/>
      <c r="H12" s="172"/>
      <c r="I12" s="221"/>
      <c r="J12" s="126"/>
      <c r="K12" s="126"/>
      <c r="L12" s="105"/>
      <c r="M12" s="222"/>
      <c r="N12" s="221"/>
      <c r="O12" s="17"/>
      <c r="P12" s="17"/>
      <c r="Q12" s="18"/>
      <c r="R12" s="18"/>
    </row>
    <row r="13" spans="1:18" ht="8.25" hidden="1" customHeight="1" thickBot="1" x14ac:dyDescent="0.25">
      <c r="A13" s="30"/>
      <c r="B13" s="31"/>
      <c r="C13" s="32"/>
      <c r="D13" s="33"/>
      <c r="E13" s="33"/>
      <c r="F13" s="172"/>
      <c r="G13" s="172"/>
      <c r="H13" s="172"/>
      <c r="I13" s="221"/>
      <c r="J13" s="126"/>
      <c r="K13" s="126"/>
      <c r="L13" s="105"/>
      <c r="M13" s="222"/>
      <c r="N13" s="221"/>
      <c r="O13" s="17"/>
      <c r="P13" s="17"/>
      <c r="Q13" s="18"/>
      <c r="R13" s="18"/>
    </row>
    <row r="14" spans="1:18" ht="15.95" hidden="1" customHeight="1" x14ac:dyDescent="0.2">
      <c r="A14" s="34">
        <v>710</v>
      </c>
      <c r="B14" s="34"/>
      <c r="C14" s="35" t="s">
        <v>83</v>
      </c>
      <c r="D14" s="15" t="s">
        <v>7</v>
      </c>
      <c r="E14" s="36">
        <f>SUM(E16:E17)</f>
        <v>0</v>
      </c>
      <c r="F14" s="172"/>
      <c r="G14" s="172"/>
      <c r="H14" s="172"/>
      <c r="I14" s="221"/>
      <c r="J14" s="126"/>
      <c r="K14" s="126"/>
      <c r="L14" s="105"/>
      <c r="M14" s="222"/>
      <c r="N14" s="221"/>
      <c r="O14" s="17"/>
      <c r="P14" s="17"/>
      <c r="Q14" s="18"/>
      <c r="R14" s="18"/>
    </row>
    <row r="15" spans="1:18" ht="15.95" hidden="1" customHeight="1" x14ac:dyDescent="0.2">
      <c r="A15" s="37"/>
      <c r="B15" s="37"/>
      <c r="C15" s="38"/>
      <c r="D15" s="21" t="s">
        <v>8</v>
      </c>
      <c r="E15" s="39"/>
      <c r="F15" s="172"/>
      <c r="G15" s="172"/>
      <c r="H15" s="172"/>
      <c r="I15" s="221"/>
      <c r="J15" s="126"/>
      <c r="K15" s="126"/>
      <c r="L15" s="105"/>
      <c r="M15" s="222"/>
      <c r="N15" s="221"/>
      <c r="O15" s="17"/>
      <c r="P15" s="17"/>
      <c r="Q15" s="18"/>
      <c r="R15" s="18"/>
    </row>
    <row r="16" spans="1:18" ht="15.95" hidden="1" customHeight="1" x14ac:dyDescent="0.2">
      <c r="A16" s="37"/>
      <c r="B16" s="37"/>
      <c r="C16" s="38"/>
      <c r="D16" s="28" t="s">
        <v>11</v>
      </c>
      <c r="E16" s="39">
        <f>SUM(E20)</f>
        <v>0</v>
      </c>
      <c r="F16" s="172"/>
      <c r="G16" s="172"/>
      <c r="H16" s="172"/>
      <c r="I16" s="221"/>
      <c r="J16" s="126"/>
      <c r="K16" s="126"/>
      <c r="L16" s="105"/>
      <c r="M16" s="222"/>
      <c r="N16" s="221"/>
      <c r="O16" s="17"/>
      <c r="P16" s="17"/>
      <c r="Q16" s="18"/>
      <c r="R16" s="18"/>
    </row>
    <row r="17" spans="1:19" ht="12.75" hidden="1" customHeight="1" x14ac:dyDescent="0.2">
      <c r="A17" s="37"/>
      <c r="B17" s="37"/>
      <c r="C17" s="38"/>
      <c r="D17" s="28" t="s">
        <v>14</v>
      </c>
      <c r="E17" s="39">
        <f>SUM(E21)</f>
        <v>0</v>
      </c>
      <c r="F17" s="172"/>
      <c r="G17" s="172"/>
      <c r="H17" s="172"/>
      <c r="I17" s="221"/>
      <c r="J17" s="126"/>
      <c r="K17" s="126"/>
      <c r="L17" s="105"/>
      <c r="M17" s="222"/>
      <c r="N17" s="221"/>
      <c r="O17" s="17"/>
      <c r="P17" s="17"/>
      <c r="Q17" s="18"/>
      <c r="R17" s="18"/>
    </row>
    <row r="18" spans="1:19" ht="12.75" hidden="1" customHeight="1" x14ac:dyDescent="0.2">
      <c r="A18" s="37"/>
      <c r="B18" s="40"/>
      <c r="C18" s="41"/>
      <c r="D18" s="42" t="s">
        <v>7</v>
      </c>
      <c r="E18" s="43">
        <f>SUM(E20,E21)</f>
        <v>0</v>
      </c>
      <c r="F18" s="173"/>
      <c r="G18" s="173"/>
      <c r="H18" s="173"/>
      <c r="I18" s="223"/>
      <c r="J18" s="125"/>
      <c r="K18" s="125"/>
      <c r="L18" s="117"/>
      <c r="M18" s="224"/>
      <c r="N18" s="223"/>
      <c r="O18" s="17"/>
      <c r="P18" s="17"/>
      <c r="Q18" s="18"/>
      <c r="R18" s="18"/>
    </row>
    <row r="19" spans="1:19" ht="12.75" hidden="1" customHeight="1" x14ac:dyDescent="0.2">
      <c r="A19" s="37"/>
      <c r="B19" s="37"/>
      <c r="C19" s="38"/>
      <c r="D19" s="27" t="s">
        <v>8</v>
      </c>
      <c r="E19" s="39"/>
      <c r="F19" s="172"/>
      <c r="G19" s="172"/>
      <c r="H19" s="172"/>
      <c r="I19" s="221"/>
      <c r="J19" s="126"/>
      <c r="K19" s="126"/>
      <c r="L19" s="105"/>
      <c r="M19" s="222"/>
      <c r="N19" s="221"/>
      <c r="O19" s="17"/>
      <c r="P19" s="17"/>
      <c r="Q19" s="18"/>
      <c r="R19" s="18"/>
    </row>
    <row r="20" spans="1:19" ht="15.75" hidden="1" customHeight="1" x14ac:dyDescent="0.2">
      <c r="A20" s="37"/>
      <c r="B20" s="37"/>
      <c r="C20" s="38"/>
      <c r="D20" s="28" t="s">
        <v>11</v>
      </c>
      <c r="E20" s="39"/>
      <c r="F20" s="172"/>
      <c r="G20" s="172"/>
      <c r="H20" s="172"/>
      <c r="I20" s="221"/>
      <c r="J20" s="126"/>
      <c r="K20" s="126"/>
      <c r="L20" s="105"/>
      <c r="M20" s="222"/>
      <c r="N20" s="221"/>
      <c r="O20" s="17"/>
      <c r="P20" s="17"/>
      <c r="Q20" s="18"/>
      <c r="R20" s="18"/>
    </row>
    <row r="21" spans="1:19" ht="30.75" hidden="1" customHeight="1" x14ac:dyDescent="0.2">
      <c r="A21" s="37"/>
      <c r="B21" s="37"/>
      <c r="C21" s="44"/>
      <c r="D21" s="28" t="s">
        <v>14</v>
      </c>
      <c r="E21" s="45"/>
      <c r="F21" s="172"/>
      <c r="G21" s="172"/>
      <c r="H21" s="172"/>
      <c r="I21" s="221"/>
      <c r="J21" s="126"/>
      <c r="K21" s="126"/>
      <c r="L21" s="105"/>
      <c r="M21" s="222"/>
      <c r="N21" s="221"/>
      <c r="O21" s="17"/>
      <c r="P21" s="17"/>
      <c r="Q21" s="18"/>
      <c r="R21" s="18"/>
    </row>
    <row r="22" spans="1:19" ht="18.75" customHeight="1" x14ac:dyDescent="0.2">
      <c r="A22" s="46">
        <v>750</v>
      </c>
      <c r="B22" s="47"/>
      <c r="C22" s="48" t="s">
        <v>15</v>
      </c>
      <c r="D22" s="49" t="s">
        <v>7</v>
      </c>
      <c r="E22" s="193">
        <f>SUM(E24)</f>
        <v>430000</v>
      </c>
      <c r="F22" s="193">
        <v>0</v>
      </c>
      <c r="G22" s="51">
        <f>SUM(G24)</f>
        <v>383360</v>
      </c>
      <c r="H22" s="51">
        <f>SUM(H24)</f>
        <v>361724.98</v>
      </c>
      <c r="I22" s="253">
        <f t="shared" ref="I22:Q22" si="0">SUM(I24)</f>
        <v>0</v>
      </c>
      <c r="J22" s="254">
        <f t="shared" si="0"/>
        <v>0</v>
      </c>
      <c r="K22" s="254">
        <f t="shared" si="0"/>
        <v>0</v>
      </c>
      <c r="L22" s="255">
        <f t="shared" si="0"/>
        <v>0</v>
      </c>
      <c r="M22" s="226"/>
      <c r="N22" s="225">
        <f t="shared" si="0"/>
        <v>430000</v>
      </c>
      <c r="O22" s="50">
        <f t="shared" si="0"/>
        <v>46640</v>
      </c>
      <c r="P22" s="50">
        <f t="shared" si="0"/>
        <v>0</v>
      </c>
      <c r="Q22" s="51">
        <f t="shared" si="0"/>
        <v>383360</v>
      </c>
      <c r="R22" s="51">
        <f t="shared" ref="R22" si="1">SUM(R24)</f>
        <v>361724.98</v>
      </c>
    </row>
    <row r="23" spans="1:19" ht="17.25" customHeight="1" x14ac:dyDescent="0.2">
      <c r="A23" s="52"/>
      <c r="B23" s="53"/>
      <c r="C23" s="54"/>
      <c r="D23" s="55" t="s">
        <v>8</v>
      </c>
      <c r="E23" s="194"/>
      <c r="F23" s="194"/>
      <c r="G23" s="18"/>
      <c r="H23" s="18"/>
      <c r="I23" s="256"/>
      <c r="J23" s="257"/>
      <c r="K23" s="257"/>
      <c r="L23" s="258"/>
      <c r="M23" s="228"/>
      <c r="N23" s="227"/>
      <c r="O23" s="57"/>
      <c r="P23" s="57"/>
      <c r="Q23" s="18"/>
      <c r="R23" s="18"/>
    </row>
    <row r="24" spans="1:19" ht="16.5" customHeight="1" x14ac:dyDescent="0.2">
      <c r="A24" s="52"/>
      <c r="B24" s="53"/>
      <c r="C24" s="54"/>
      <c r="D24" s="58" t="s">
        <v>16</v>
      </c>
      <c r="E24" s="195">
        <f>SUM(E32,E35)</f>
        <v>430000</v>
      </c>
      <c r="F24" s="195">
        <v>0</v>
      </c>
      <c r="G24" s="18">
        <f>SUM(G32,G35)</f>
        <v>383360</v>
      </c>
      <c r="H24" s="18">
        <f>SUM(H32,H35)</f>
        <v>361724.98</v>
      </c>
      <c r="I24" s="259">
        <f t="shared" ref="I24:Q24" si="2">SUM(I32,I35)</f>
        <v>0</v>
      </c>
      <c r="J24" s="260">
        <f t="shared" si="2"/>
        <v>0</v>
      </c>
      <c r="K24" s="260">
        <f t="shared" si="2"/>
        <v>0</v>
      </c>
      <c r="L24" s="258">
        <f t="shared" si="2"/>
        <v>0</v>
      </c>
      <c r="M24" s="230"/>
      <c r="N24" s="229">
        <f t="shared" si="2"/>
        <v>430000</v>
      </c>
      <c r="O24" s="59">
        <f t="shared" si="2"/>
        <v>46640</v>
      </c>
      <c r="P24" s="59">
        <f t="shared" si="2"/>
        <v>0</v>
      </c>
      <c r="Q24" s="18">
        <f t="shared" si="2"/>
        <v>383360</v>
      </c>
      <c r="R24" s="18">
        <f t="shared" ref="R24" si="3">SUM(R32,R35)</f>
        <v>361724.98</v>
      </c>
    </row>
    <row r="25" spans="1:19" ht="17.25" hidden="1" customHeight="1" x14ac:dyDescent="0.2">
      <c r="A25" s="52"/>
      <c r="B25" s="60"/>
      <c r="C25" s="61"/>
      <c r="D25" s="62" t="s">
        <v>14</v>
      </c>
      <c r="E25" s="196">
        <v>0</v>
      </c>
      <c r="F25" s="196">
        <v>0</v>
      </c>
      <c r="G25" s="18">
        <v>0</v>
      </c>
      <c r="H25" s="18">
        <v>0</v>
      </c>
      <c r="I25" s="261">
        <v>0</v>
      </c>
      <c r="J25" s="262">
        <v>0</v>
      </c>
      <c r="K25" s="262">
        <v>0</v>
      </c>
      <c r="L25" s="263">
        <v>0</v>
      </c>
      <c r="M25" s="230"/>
      <c r="N25" s="231">
        <v>0</v>
      </c>
      <c r="O25" s="63">
        <v>0</v>
      </c>
      <c r="P25" s="63">
        <v>0</v>
      </c>
      <c r="Q25" s="18">
        <v>0</v>
      </c>
      <c r="R25" s="18">
        <v>0</v>
      </c>
    </row>
    <row r="26" spans="1:19" s="174" customFormat="1" ht="12.75" hidden="1" customHeight="1" x14ac:dyDescent="0.2">
      <c r="A26" s="52"/>
      <c r="B26" s="20">
        <v>75023</v>
      </c>
      <c r="C26" s="64" t="s">
        <v>17</v>
      </c>
      <c r="D26" s="65" t="s">
        <v>7</v>
      </c>
      <c r="E26" s="195">
        <v>0</v>
      </c>
      <c r="F26" s="195">
        <v>0</v>
      </c>
      <c r="G26" s="18">
        <v>0</v>
      </c>
      <c r="H26" s="18">
        <v>0</v>
      </c>
      <c r="I26" s="259">
        <v>0</v>
      </c>
      <c r="J26" s="260">
        <v>0</v>
      </c>
      <c r="K26" s="260">
        <v>0</v>
      </c>
      <c r="L26" s="263">
        <v>0</v>
      </c>
      <c r="M26" s="230"/>
      <c r="N26" s="229">
        <v>0</v>
      </c>
      <c r="O26" s="59">
        <v>0</v>
      </c>
      <c r="P26" s="59">
        <v>0</v>
      </c>
      <c r="Q26" s="18">
        <v>0</v>
      </c>
      <c r="R26" s="18">
        <v>0</v>
      </c>
      <c r="S26" s="167"/>
    </row>
    <row r="27" spans="1:19" ht="12.75" hidden="1" customHeight="1" x14ac:dyDescent="0.2">
      <c r="A27" s="52"/>
      <c r="B27" s="66"/>
      <c r="C27" s="54"/>
      <c r="D27" s="65" t="s">
        <v>8</v>
      </c>
      <c r="E27" s="197"/>
      <c r="F27" s="197"/>
      <c r="G27" s="18"/>
      <c r="H27" s="18"/>
      <c r="I27" s="256"/>
      <c r="J27" s="264"/>
      <c r="K27" s="264"/>
      <c r="L27" s="263"/>
      <c r="M27" s="230"/>
      <c r="N27" s="227"/>
      <c r="O27" s="67"/>
      <c r="P27" s="67"/>
      <c r="Q27" s="18"/>
      <c r="R27" s="18"/>
    </row>
    <row r="28" spans="1:19" ht="15" hidden="1" customHeight="1" x14ac:dyDescent="0.2">
      <c r="A28" s="52"/>
      <c r="B28" s="68"/>
      <c r="C28" s="54"/>
      <c r="D28" s="58" t="s">
        <v>16</v>
      </c>
      <c r="E28" s="197"/>
      <c r="F28" s="197"/>
      <c r="G28" s="18"/>
      <c r="H28" s="18"/>
      <c r="I28" s="256"/>
      <c r="J28" s="264"/>
      <c r="K28" s="264"/>
      <c r="L28" s="263"/>
      <c r="M28" s="230"/>
      <c r="N28" s="227"/>
      <c r="O28" s="67"/>
      <c r="P28" s="67"/>
      <c r="Q28" s="18"/>
      <c r="R28" s="18"/>
    </row>
    <row r="29" spans="1:19" ht="15" hidden="1" customHeight="1" x14ac:dyDescent="0.2">
      <c r="A29" s="52"/>
      <c r="B29" s="69"/>
      <c r="C29" s="61"/>
      <c r="D29" s="70" t="s">
        <v>14</v>
      </c>
      <c r="E29" s="196"/>
      <c r="F29" s="196"/>
      <c r="G29" s="18"/>
      <c r="H29" s="18"/>
      <c r="I29" s="261"/>
      <c r="J29" s="262"/>
      <c r="K29" s="262"/>
      <c r="L29" s="263"/>
      <c r="M29" s="230"/>
      <c r="N29" s="231"/>
      <c r="O29" s="63"/>
      <c r="P29" s="63"/>
      <c r="Q29" s="18"/>
      <c r="R29" s="18"/>
    </row>
    <row r="30" spans="1:19" ht="15" customHeight="1" x14ac:dyDescent="0.2">
      <c r="A30" s="52"/>
      <c r="B30" s="71">
        <v>75075</v>
      </c>
      <c r="C30" s="72" t="s">
        <v>18</v>
      </c>
      <c r="D30" s="73" t="s">
        <v>7</v>
      </c>
      <c r="E30" s="198">
        <f>SUM(E32)</f>
        <v>50000</v>
      </c>
      <c r="F30" s="199">
        <v>0</v>
      </c>
      <c r="G30" s="75">
        <f>SUM(G32)</f>
        <v>50000</v>
      </c>
      <c r="H30" s="75">
        <f>SUM(H32)</f>
        <v>49997.5</v>
      </c>
      <c r="I30" s="265">
        <v>0</v>
      </c>
      <c r="J30" s="266">
        <v>0</v>
      </c>
      <c r="K30" s="266">
        <v>0</v>
      </c>
      <c r="L30" s="263">
        <v>0</v>
      </c>
      <c r="M30" s="233"/>
      <c r="N30" s="232">
        <f>SUM(N32)</f>
        <v>50000</v>
      </c>
      <c r="O30" s="74">
        <f t="shared" ref="O30:P30" si="4">SUM(O32)</f>
        <v>0</v>
      </c>
      <c r="P30" s="74">
        <f t="shared" si="4"/>
        <v>0</v>
      </c>
      <c r="Q30" s="75">
        <f>SUM(Q32)</f>
        <v>50000</v>
      </c>
      <c r="R30" s="75">
        <f>SUM(R32)</f>
        <v>49997.5</v>
      </c>
    </row>
    <row r="31" spans="1:19" ht="15" customHeight="1" x14ac:dyDescent="0.2">
      <c r="A31" s="52"/>
      <c r="B31" s="66"/>
      <c r="C31" s="54"/>
      <c r="D31" s="65" t="s">
        <v>8</v>
      </c>
      <c r="E31" s="195"/>
      <c r="F31" s="197"/>
      <c r="G31" s="18"/>
      <c r="H31" s="217"/>
      <c r="I31" s="256"/>
      <c r="J31" s="264"/>
      <c r="K31" s="264"/>
      <c r="L31" s="258"/>
      <c r="M31" s="230"/>
      <c r="N31" s="227"/>
      <c r="O31" s="67"/>
      <c r="P31" s="67"/>
      <c r="Q31" s="18"/>
      <c r="R31" s="18"/>
    </row>
    <row r="32" spans="1:19" ht="15" customHeight="1" x14ac:dyDescent="0.2">
      <c r="A32" s="52"/>
      <c r="B32" s="66"/>
      <c r="C32" s="54"/>
      <c r="D32" s="58" t="s">
        <v>16</v>
      </c>
      <c r="E32" s="195">
        <f>SUM(I32,N32)</f>
        <v>50000</v>
      </c>
      <c r="F32" s="197"/>
      <c r="G32" s="18">
        <f>SUM(L32,Q32)</f>
        <v>50000</v>
      </c>
      <c r="H32" s="216">
        <f>SUM(M32,R32)</f>
        <v>49997.5</v>
      </c>
      <c r="I32" s="259"/>
      <c r="J32" s="264"/>
      <c r="K32" s="264"/>
      <c r="L32" s="258">
        <f>SUM(I32-J32+K32)</f>
        <v>0</v>
      </c>
      <c r="M32" s="230"/>
      <c r="N32" s="229">
        <v>50000</v>
      </c>
      <c r="O32" s="59"/>
      <c r="P32" s="67"/>
      <c r="Q32" s="18">
        <f>SUM(N32-O32+P32)</f>
        <v>50000</v>
      </c>
      <c r="R32" s="18">
        <v>49997.5</v>
      </c>
    </row>
    <row r="33" spans="1:18" ht="16.5" customHeight="1" x14ac:dyDescent="0.2">
      <c r="A33" s="52"/>
      <c r="B33" s="71">
        <v>75095</v>
      </c>
      <c r="C33" s="72" t="s">
        <v>13</v>
      </c>
      <c r="D33" s="73" t="s">
        <v>7</v>
      </c>
      <c r="E33" s="198">
        <f>SUM(E35)</f>
        <v>380000</v>
      </c>
      <c r="F33" s="198">
        <v>0</v>
      </c>
      <c r="G33" s="8">
        <f>SUM(G35)</f>
        <v>333360</v>
      </c>
      <c r="H33" s="8">
        <f>SUM(H35)</f>
        <v>311727.48</v>
      </c>
      <c r="I33" s="265">
        <f t="shared" ref="I33:R33" si="5">SUM(I35)</f>
        <v>0</v>
      </c>
      <c r="J33" s="266">
        <f t="shared" si="5"/>
        <v>0</v>
      </c>
      <c r="K33" s="266">
        <f t="shared" si="5"/>
        <v>0</v>
      </c>
      <c r="L33" s="263">
        <f t="shared" si="5"/>
        <v>0</v>
      </c>
      <c r="M33" s="233"/>
      <c r="N33" s="232">
        <f t="shared" si="5"/>
        <v>380000</v>
      </c>
      <c r="O33" s="74">
        <f t="shared" si="5"/>
        <v>46640</v>
      </c>
      <c r="P33" s="74">
        <f t="shared" si="5"/>
        <v>0</v>
      </c>
      <c r="Q33" s="8">
        <f t="shared" si="5"/>
        <v>333360</v>
      </c>
      <c r="R33" s="8">
        <f t="shared" si="5"/>
        <v>311727.48</v>
      </c>
    </row>
    <row r="34" spans="1:18" ht="17.25" customHeight="1" x14ac:dyDescent="0.2">
      <c r="A34" s="52"/>
      <c r="B34" s="53"/>
      <c r="C34" s="54"/>
      <c r="D34" s="65" t="s">
        <v>8</v>
      </c>
      <c r="E34" s="197"/>
      <c r="F34" s="197"/>
      <c r="G34" s="18"/>
      <c r="H34" s="217"/>
      <c r="I34" s="256"/>
      <c r="J34" s="264"/>
      <c r="K34" s="264"/>
      <c r="L34" s="258"/>
      <c r="M34" s="230"/>
      <c r="N34" s="227"/>
      <c r="O34" s="17"/>
      <c r="P34" s="17"/>
      <c r="Q34" s="18"/>
      <c r="R34" s="18"/>
    </row>
    <row r="35" spans="1:18" ht="16.5" customHeight="1" x14ac:dyDescent="0.2">
      <c r="A35" s="52"/>
      <c r="B35" s="53"/>
      <c r="C35" s="76"/>
      <c r="D35" s="56" t="s">
        <v>16</v>
      </c>
      <c r="E35" s="195">
        <f>SUM(I35,N35)</f>
        <v>380000</v>
      </c>
      <c r="F35" s="195"/>
      <c r="G35" s="18">
        <f>SUM(L35,Q35)</f>
        <v>333360</v>
      </c>
      <c r="H35" s="216">
        <f>SUM(M35,R35)</f>
        <v>311727.48</v>
      </c>
      <c r="I35" s="259"/>
      <c r="J35" s="260"/>
      <c r="K35" s="260"/>
      <c r="L35" s="258">
        <f>SUM(I35-J35+K35)</f>
        <v>0</v>
      </c>
      <c r="M35" s="230"/>
      <c r="N35" s="229">
        <v>380000</v>
      </c>
      <c r="O35" s="77">
        <v>46640</v>
      </c>
      <c r="P35" s="77"/>
      <c r="Q35" s="18">
        <f>SUM(N35-O35+P35)</f>
        <v>333360</v>
      </c>
      <c r="R35" s="18">
        <v>311727.48</v>
      </c>
    </row>
    <row r="36" spans="1:18" ht="5.25" customHeight="1" thickBot="1" x14ac:dyDescent="0.25">
      <c r="A36" s="78"/>
      <c r="B36" s="79"/>
      <c r="C36" s="79"/>
      <c r="D36" s="80"/>
      <c r="E36" s="200"/>
      <c r="F36" s="200"/>
      <c r="G36" s="18"/>
      <c r="H36" s="218"/>
      <c r="I36" s="267"/>
      <c r="J36" s="268"/>
      <c r="K36" s="268"/>
      <c r="L36" s="269"/>
      <c r="M36" s="235"/>
      <c r="N36" s="234"/>
      <c r="O36" s="17"/>
      <c r="P36" s="17"/>
      <c r="Q36" s="18"/>
      <c r="R36" s="18"/>
    </row>
    <row r="37" spans="1:18" ht="19.5" customHeight="1" x14ac:dyDescent="0.2">
      <c r="A37" s="81">
        <v>754</v>
      </c>
      <c r="B37" s="66"/>
      <c r="C37" s="14" t="s">
        <v>19</v>
      </c>
      <c r="D37" s="82" t="s">
        <v>7</v>
      </c>
      <c r="E37" s="201">
        <f>SUM(E39)</f>
        <v>30000</v>
      </c>
      <c r="F37" s="201">
        <v>0</v>
      </c>
      <c r="G37" s="84">
        <f>SUM(G39)</f>
        <v>1037210</v>
      </c>
      <c r="H37" s="84">
        <f>SUM(H39)</f>
        <v>1029002</v>
      </c>
      <c r="I37" s="270">
        <f t="shared" ref="I37:Q37" si="6">SUM(I39)</f>
        <v>0</v>
      </c>
      <c r="J37" s="271">
        <f t="shared" si="6"/>
        <v>0</v>
      </c>
      <c r="K37" s="271">
        <f t="shared" si="6"/>
        <v>0</v>
      </c>
      <c r="L37" s="272">
        <f t="shared" si="6"/>
        <v>0</v>
      </c>
      <c r="M37" s="237"/>
      <c r="N37" s="236">
        <f t="shared" si="6"/>
        <v>30000</v>
      </c>
      <c r="O37" s="83">
        <f t="shared" si="6"/>
        <v>0</v>
      </c>
      <c r="P37" s="83">
        <f t="shared" si="6"/>
        <v>1007210</v>
      </c>
      <c r="Q37" s="84">
        <f t="shared" si="6"/>
        <v>1037210</v>
      </c>
      <c r="R37" s="84">
        <f t="shared" ref="R37" si="7">SUM(R39)</f>
        <v>1029002</v>
      </c>
    </row>
    <row r="38" spans="1:18" ht="18.75" customHeight="1" x14ac:dyDescent="0.2">
      <c r="A38" s="52"/>
      <c r="B38" s="53"/>
      <c r="C38" s="26"/>
      <c r="D38" s="55" t="s">
        <v>8</v>
      </c>
      <c r="E38" s="29"/>
      <c r="F38" s="29"/>
      <c r="G38" s="18"/>
      <c r="H38" s="18"/>
      <c r="I38" s="273"/>
      <c r="J38" s="274"/>
      <c r="K38" s="274"/>
      <c r="L38" s="275"/>
      <c r="M38" s="239"/>
      <c r="N38" s="238"/>
      <c r="O38" s="17"/>
      <c r="P38" s="17"/>
      <c r="Q38" s="18"/>
      <c r="R38" s="18"/>
    </row>
    <row r="39" spans="1:18" ht="18.75" customHeight="1" x14ac:dyDescent="0.2">
      <c r="A39" s="52"/>
      <c r="B39" s="52"/>
      <c r="C39" s="26"/>
      <c r="D39" s="85" t="s">
        <v>16</v>
      </c>
      <c r="E39" s="29">
        <f>SUM(E43,E50)</f>
        <v>30000</v>
      </c>
      <c r="F39" s="29">
        <v>0</v>
      </c>
      <c r="G39" s="18">
        <f>SUM(G43,G46,G50)</f>
        <v>1037210</v>
      </c>
      <c r="H39" s="18">
        <f>SUM(H43,H46,H50)</f>
        <v>1029002</v>
      </c>
      <c r="I39" s="273">
        <f t="shared" ref="I39:L39" si="8">SUM(I43,I50)</f>
        <v>0</v>
      </c>
      <c r="J39" s="274">
        <f t="shared" si="8"/>
        <v>0</v>
      </c>
      <c r="K39" s="274">
        <f t="shared" si="8"/>
        <v>0</v>
      </c>
      <c r="L39" s="275">
        <f t="shared" si="8"/>
        <v>0</v>
      </c>
      <c r="M39" s="239"/>
      <c r="N39" s="238">
        <f>SUM(N43,N46,N50)</f>
        <v>30000</v>
      </c>
      <c r="O39" s="86">
        <f t="shared" ref="O39:Q39" si="9">SUM(O43,O46,O50)</f>
        <v>0</v>
      </c>
      <c r="P39" s="86">
        <f t="shared" si="9"/>
        <v>1007210</v>
      </c>
      <c r="Q39" s="18">
        <f t="shared" si="9"/>
        <v>1037210</v>
      </c>
      <c r="R39" s="18">
        <f t="shared" ref="R39" si="10">SUM(R43,R46,R50)</f>
        <v>1029002</v>
      </c>
    </row>
    <row r="40" spans="1:18" ht="18.75" hidden="1" customHeight="1" x14ac:dyDescent="0.2">
      <c r="A40" s="52"/>
      <c r="B40" s="60"/>
      <c r="C40" s="87"/>
      <c r="D40" s="70" t="s">
        <v>14</v>
      </c>
      <c r="E40" s="202">
        <f>SUM(E47)</f>
        <v>0</v>
      </c>
      <c r="F40" s="202"/>
      <c r="G40" s="89">
        <f>SUM(G47)</f>
        <v>0</v>
      </c>
      <c r="H40" s="89">
        <f>SUM(H47)</f>
        <v>0</v>
      </c>
      <c r="I40" s="276">
        <f t="shared" ref="I40:Q40" si="11">SUM(I47)</f>
        <v>0</v>
      </c>
      <c r="J40" s="277">
        <f t="shared" si="11"/>
        <v>0</v>
      </c>
      <c r="K40" s="277">
        <f t="shared" si="11"/>
        <v>0</v>
      </c>
      <c r="L40" s="278">
        <f t="shared" si="11"/>
        <v>0</v>
      </c>
      <c r="M40" s="241"/>
      <c r="N40" s="240">
        <f t="shared" si="11"/>
        <v>0</v>
      </c>
      <c r="O40" s="88">
        <f t="shared" si="11"/>
        <v>0</v>
      </c>
      <c r="P40" s="88">
        <f t="shared" si="11"/>
        <v>0</v>
      </c>
      <c r="Q40" s="89">
        <f t="shared" si="11"/>
        <v>0</v>
      </c>
      <c r="R40" s="89">
        <f t="shared" ref="R40" si="12">SUM(R47)</f>
        <v>0</v>
      </c>
    </row>
    <row r="41" spans="1:18" ht="18" customHeight="1" x14ac:dyDescent="0.2">
      <c r="A41" s="52"/>
      <c r="B41" s="71">
        <v>75412</v>
      </c>
      <c r="C41" s="90" t="s">
        <v>93</v>
      </c>
      <c r="D41" s="73" t="s">
        <v>7</v>
      </c>
      <c r="E41" s="75">
        <f>SUM(E43)</f>
        <v>30000</v>
      </c>
      <c r="F41" s="75">
        <v>0</v>
      </c>
      <c r="G41" s="8">
        <f>SUM(G43)</f>
        <v>98500</v>
      </c>
      <c r="H41" s="8">
        <f>SUM(H43)</f>
        <v>98500</v>
      </c>
      <c r="I41" s="279">
        <f t="shared" ref="I41:Q41" si="13">SUM(I43)</f>
        <v>0</v>
      </c>
      <c r="J41" s="280">
        <f t="shared" si="13"/>
        <v>0</v>
      </c>
      <c r="K41" s="280">
        <f t="shared" si="13"/>
        <v>0</v>
      </c>
      <c r="L41" s="281">
        <f t="shared" si="13"/>
        <v>0</v>
      </c>
      <c r="M41" s="243"/>
      <c r="N41" s="242">
        <f t="shared" si="13"/>
        <v>30000</v>
      </c>
      <c r="O41" s="122">
        <f t="shared" si="13"/>
        <v>0</v>
      </c>
      <c r="P41" s="122">
        <f t="shared" si="13"/>
        <v>68500</v>
      </c>
      <c r="Q41" s="8">
        <f t="shared" si="13"/>
        <v>98500</v>
      </c>
      <c r="R41" s="8">
        <f t="shared" ref="R41" si="14">SUM(R43)</f>
        <v>98500</v>
      </c>
    </row>
    <row r="42" spans="1:18" ht="20.25" customHeight="1" x14ac:dyDescent="0.2">
      <c r="A42" s="52"/>
      <c r="B42" s="53"/>
      <c r="C42" s="26"/>
      <c r="D42" s="55" t="s">
        <v>8</v>
      </c>
      <c r="E42" s="203"/>
      <c r="F42" s="203"/>
      <c r="G42" s="323"/>
      <c r="H42" s="324"/>
      <c r="I42" s="325"/>
      <c r="J42" s="326"/>
      <c r="K42" s="326"/>
      <c r="L42" s="326"/>
      <c r="M42" s="327"/>
      <c r="N42" s="328"/>
      <c r="O42" s="323"/>
      <c r="P42" s="323"/>
      <c r="Q42" s="329"/>
      <c r="R42" s="329"/>
    </row>
    <row r="43" spans="1:18" ht="18" customHeight="1" x14ac:dyDescent="0.2">
      <c r="A43" s="52"/>
      <c r="B43" s="53"/>
      <c r="C43" s="26"/>
      <c r="D43" s="85" t="s">
        <v>16</v>
      </c>
      <c r="E43" s="29">
        <f>SUM(I43,N43)</f>
        <v>30000</v>
      </c>
      <c r="F43" s="29"/>
      <c r="G43" s="329">
        <f>SUM(Q43,L43)</f>
        <v>98500</v>
      </c>
      <c r="H43" s="330">
        <f>SUM(M43,R43)</f>
        <v>98500</v>
      </c>
      <c r="I43" s="331"/>
      <c r="J43" s="326"/>
      <c r="K43" s="326"/>
      <c r="L43" s="312">
        <f>SUM(I43-J43+K43)</f>
        <v>0</v>
      </c>
      <c r="M43" s="332"/>
      <c r="N43" s="333">
        <v>30000</v>
      </c>
      <c r="O43" s="323"/>
      <c r="P43" s="329">
        <f>20000+22500+26000</f>
        <v>68500</v>
      </c>
      <c r="Q43" s="329">
        <f>SUM(N43-O43+P43)</f>
        <v>98500</v>
      </c>
      <c r="R43" s="329">
        <v>98500</v>
      </c>
    </row>
    <row r="44" spans="1:18" ht="21" customHeight="1" x14ac:dyDescent="0.2">
      <c r="A44" s="52"/>
      <c r="B44" s="71">
        <v>75421</v>
      </c>
      <c r="C44" s="90" t="s">
        <v>110</v>
      </c>
      <c r="D44" s="91" t="s">
        <v>7</v>
      </c>
      <c r="E44" s="75"/>
      <c r="F44" s="75"/>
      <c r="G44" s="318">
        <f>SUM(G46:G47)</f>
        <v>938710</v>
      </c>
      <c r="H44" s="318">
        <f>SUM(H46:H47)</f>
        <v>930502</v>
      </c>
      <c r="I44" s="334"/>
      <c r="J44" s="335"/>
      <c r="K44" s="335"/>
      <c r="L44" s="336"/>
      <c r="M44" s="337"/>
      <c r="N44" s="334">
        <f>SUM(N46:N47)</f>
        <v>0</v>
      </c>
      <c r="O44" s="338">
        <f t="shared" ref="O44:R44" si="15">SUM(O46:O47)</f>
        <v>0</v>
      </c>
      <c r="P44" s="318">
        <f t="shared" si="15"/>
        <v>938710</v>
      </c>
      <c r="Q44" s="318">
        <f t="shared" si="15"/>
        <v>938710</v>
      </c>
      <c r="R44" s="318">
        <f t="shared" si="15"/>
        <v>930502</v>
      </c>
    </row>
    <row r="45" spans="1:18" ht="16.5" customHeight="1" x14ac:dyDescent="0.2">
      <c r="A45" s="52"/>
      <c r="B45" s="53"/>
      <c r="C45" s="26"/>
      <c r="D45" s="85" t="s">
        <v>8</v>
      </c>
      <c r="E45" s="29"/>
      <c r="F45" s="29"/>
      <c r="G45" s="323"/>
      <c r="H45" s="324"/>
      <c r="I45" s="331"/>
      <c r="J45" s="326"/>
      <c r="K45" s="326"/>
      <c r="L45" s="312"/>
      <c r="M45" s="332"/>
      <c r="N45" s="333"/>
      <c r="O45" s="323"/>
      <c r="P45" s="329"/>
      <c r="Q45" s="329"/>
      <c r="R45" s="329"/>
    </row>
    <row r="46" spans="1:18" ht="21" customHeight="1" thickBot="1" x14ac:dyDescent="0.25">
      <c r="A46" s="52"/>
      <c r="B46" s="53"/>
      <c r="C46" s="26"/>
      <c r="D46" s="85" t="s">
        <v>16</v>
      </c>
      <c r="E46" s="29"/>
      <c r="F46" s="29"/>
      <c r="G46" s="329">
        <f>SUM(Q46,L46)</f>
        <v>938710</v>
      </c>
      <c r="H46" s="330">
        <f>SUM(M46,R46)</f>
        <v>930502</v>
      </c>
      <c r="I46" s="331"/>
      <c r="J46" s="326"/>
      <c r="K46" s="326"/>
      <c r="L46" s="312">
        <f>SUM(I46-J46+K46)</f>
        <v>0</v>
      </c>
      <c r="M46" s="332"/>
      <c r="N46" s="333"/>
      <c r="O46" s="323"/>
      <c r="P46" s="329">
        <f>38710+150000+610000+70000+70000</f>
        <v>938710</v>
      </c>
      <c r="Q46" s="329">
        <f>SUM(N46-O46+P46)</f>
        <v>938710</v>
      </c>
      <c r="R46" s="329">
        <v>930502</v>
      </c>
    </row>
    <row r="47" spans="1:18" ht="21" hidden="1" customHeight="1" thickBot="1" x14ac:dyDescent="0.25">
      <c r="A47" s="52"/>
      <c r="B47" s="53"/>
      <c r="C47" s="26"/>
      <c r="D47" s="85" t="s">
        <v>14</v>
      </c>
      <c r="E47" s="29"/>
      <c r="F47" s="29"/>
      <c r="G47" s="329">
        <f>SUM(Q47,L47)</f>
        <v>0</v>
      </c>
      <c r="H47" s="330"/>
      <c r="I47" s="333"/>
      <c r="J47" s="339"/>
      <c r="K47" s="339"/>
      <c r="L47" s="340">
        <f>SUM(I47-J47+K47)</f>
        <v>0</v>
      </c>
      <c r="M47" s="332"/>
      <c r="N47" s="333"/>
      <c r="O47" s="323"/>
      <c r="P47" s="329"/>
      <c r="Q47" s="329">
        <f>SUM(N47-O47+P47)</f>
        <v>0</v>
      </c>
      <c r="R47" s="329"/>
    </row>
    <row r="48" spans="1:18" ht="21" hidden="1" customHeight="1" x14ac:dyDescent="0.2">
      <c r="A48" s="52"/>
      <c r="B48" s="71">
        <v>75495</v>
      </c>
      <c r="C48" s="90" t="s">
        <v>13</v>
      </c>
      <c r="D48" s="92" t="s">
        <v>7</v>
      </c>
      <c r="E48" s="75">
        <f>SUM(E50)</f>
        <v>0</v>
      </c>
      <c r="F48" s="75"/>
      <c r="G48" s="318">
        <f>SUM(G50)</f>
        <v>0</v>
      </c>
      <c r="H48" s="341"/>
      <c r="I48" s="342">
        <f t="shared" ref="I48:Q48" si="16">SUM(I50)</f>
        <v>0</v>
      </c>
      <c r="J48" s="343">
        <f t="shared" si="16"/>
        <v>0</v>
      </c>
      <c r="K48" s="343">
        <f t="shared" si="16"/>
        <v>0</v>
      </c>
      <c r="L48" s="344">
        <f t="shared" si="16"/>
        <v>0</v>
      </c>
      <c r="M48" s="337"/>
      <c r="N48" s="342">
        <f t="shared" si="16"/>
        <v>0</v>
      </c>
      <c r="O48" s="318">
        <f t="shared" si="16"/>
        <v>0</v>
      </c>
      <c r="P48" s="318">
        <f t="shared" si="16"/>
        <v>0</v>
      </c>
      <c r="Q48" s="318">
        <f t="shared" si="16"/>
        <v>0</v>
      </c>
      <c r="R48" s="329"/>
    </row>
    <row r="49" spans="1:19" ht="21" hidden="1" customHeight="1" x14ac:dyDescent="0.2">
      <c r="A49" s="52"/>
      <c r="B49" s="20"/>
      <c r="C49" s="76"/>
      <c r="D49" s="93" t="s">
        <v>8</v>
      </c>
      <c r="E49" s="29"/>
      <c r="F49" s="29"/>
      <c r="G49" s="329"/>
      <c r="H49" s="330"/>
      <c r="I49" s="333"/>
      <c r="J49" s="339"/>
      <c r="K49" s="339"/>
      <c r="L49" s="340"/>
      <c r="M49" s="332"/>
      <c r="N49" s="333"/>
      <c r="O49" s="329"/>
      <c r="P49" s="329"/>
      <c r="Q49" s="329"/>
      <c r="R49" s="329"/>
    </row>
    <row r="50" spans="1:19" ht="21" hidden="1" customHeight="1" thickBot="1" x14ac:dyDescent="0.25">
      <c r="A50" s="52"/>
      <c r="B50" s="20"/>
      <c r="C50" s="76"/>
      <c r="D50" s="93" t="s">
        <v>16</v>
      </c>
      <c r="E50" s="29">
        <f>SUM(I50,N50)</f>
        <v>0</v>
      </c>
      <c r="F50" s="29"/>
      <c r="G50" s="329">
        <f>SUM(Q50,L50)</f>
        <v>0</v>
      </c>
      <c r="H50" s="330"/>
      <c r="I50" s="333"/>
      <c r="J50" s="339"/>
      <c r="K50" s="339"/>
      <c r="L50" s="340">
        <f>SUM(I50-J50+K50)</f>
        <v>0</v>
      </c>
      <c r="M50" s="332"/>
      <c r="N50" s="333"/>
      <c r="O50" s="329"/>
      <c r="P50" s="329"/>
      <c r="Q50" s="329">
        <f>SUM(N50-O50+P50)</f>
        <v>0</v>
      </c>
      <c r="R50" s="329"/>
    </row>
    <row r="51" spans="1:19" ht="17.100000000000001" customHeight="1" x14ac:dyDescent="0.2">
      <c r="A51" s="94">
        <v>755</v>
      </c>
      <c r="B51" s="95"/>
      <c r="C51" s="96" t="s">
        <v>97</v>
      </c>
      <c r="D51" s="97" t="s">
        <v>7</v>
      </c>
      <c r="E51" s="204">
        <f>SUM(E53)</f>
        <v>1024320</v>
      </c>
      <c r="F51" s="204"/>
      <c r="G51" s="345">
        <f>SUM(G53)</f>
        <v>1024320</v>
      </c>
      <c r="H51" s="345">
        <f>SUM(H53)</f>
        <v>1024320</v>
      </c>
      <c r="I51" s="346">
        <f t="shared" ref="I51:Q51" si="17">SUM(I53)</f>
        <v>0</v>
      </c>
      <c r="J51" s="347">
        <f t="shared" si="17"/>
        <v>0</v>
      </c>
      <c r="K51" s="347">
        <f t="shared" si="17"/>
        <v>0</v>
      </c>
      <c r="L51" s="348">
        <f t="shared" si="17"/>
        <v>0</v>
      </c>
      <c r="M51" s="349"/>
      <c r="N51" s="350">
        <f t="shared" si="17"/>
        <v>1024320</v>
      </c>
      <c r="O51" s="345"/>
      <c r="P51" s="345">
        <f t="shared" si="17"/>
        <v>0</v>
      </c>
      <c r="Q51" s="345">
        <f t="shared" si="17"/>
        <v>1024320</v>
      </c>
      <c r="R51" s="345">
        <f t="shared" ref="R51" si="18">SUM(R53)</f>
        <v>1024320</v>
      </c>
    </row>
    <row r="52" spans="1:19" ht="17.100000000000001" customHeight="1" x14ac:dyDescent="0.2">
      <c r="A52" s="52"/>
      <c r="B52" s="53"/>
      <c r="C52" s="26"/>
      <c r="D52" s="98" t="s">
        <v>8</v>
      </c>
      <c r="E52" s="29"/>
      <c r="F52" s="29"/>
      <c r="G52" s="329"/>
      <c r="H52" s="329"/>
      <c r="I52" s="331"/>
      <c r="J52" s="326"/>
      <c r="K52" s="326"/>
      <c r="L52" s="312"/>
      <c r="M52" s="332"/>
      <c r="N52" s="333"/>
      <c r="O52" s="329"/>
      <c r="P52" s="329"/>
      <c r="Q52" s="329"/>
      <c r="R52" s="329"/>
    </row>
    <row r="53" spans="1:19" ht="17.100000000000001" customHeight="1" x14ac:dyDescent="0.2">
      <c r="A53" s="52"/>
      <c r="B53" s="60"/>
      <c r="C53" s="87"/>
      <c r="D53" s="70" t="s">
        <v>14</v>
      </c>
      <c r="E53" s="202">
        <f>SUM(E56)</f>
        <v>1024320</v>
      </c>
      <c r="F53" s="202"/>
      <c r="G53" s="351">
        <f>SUM(G56)</f>
        <v>1024320</v>
      </c>
      <c r="H53" s="351">
        <f>SUM(H56)</f>
        <v>1024320</v>
      </c>
      <c r="I53" s="287">
        <f t="shared" ref="I53:Q53" si="19">SUM(I56)</f>
        <v>0</v>
      </c>
      <c r="J53" s="352">
        <f t="shared" si="19"/>
        <v>0</v>
      </c>
      <c r="K53" s="352">
        <f t="shared" si="19"/>
        <v>0</v>
      </c>
      <c r="L53" s="353">
        <f t="shared" si="19"/>
        <v>0</v>
      </c>
      <c r="M53" s="247"/>
      <c r="N53" s="246">
        <f t="shared" si="19"/>
        <v>1024320</v>
      </c>
      <c r="O53" s="351">
        <f t="shared" si="19"/>
        <v>0</v>
      </c>
      <c r="P53" s="351">
        <f t="shared" si="19"/>
        <v>0</v>
      </c>
      <c r="Q53" s="351">
        <f t="shared" si="19"/>
        <v>1024320</v>
      </c>
      <c r="R53" s="351">
        <f t="shared" ref="R53" si="20">SUM(R56)</f>
        <v>1024320</v>
      </c>
    </row>
    <row r="54" spans="1:19" ht="17.100000000000001" customHeight="1" x14ac:dyDescent="0.2">
      <c r="A54" s="52"/>
      <c r="B54" s="20">
        <v>75515</v>
      </c>
      <c r="C54" s="26" t="s">
        <v>98</v>
      </c>
      <c r="D54" s="99" t="s">
        <v>7</v>
      </c>
      <c r="E54" s="29">
        <f>SUM(E56)</f>
        <v>1024320</v>
      </c>
      <c r="F54" s="29"/>
      <c r="G54" s="329">
        <f>SUM(G56)</f>
        <v>1024320</v>
      </c>
      <c r="H54" s="329">
        <f>SUM(H56)</f>
        <v>1024320</v>
      </c>
      <c r="I54" s="331">
        <f t="shared" ref="I54:Q54" si="21">SUM(I56)</f>
        <v>0</v>
      </c>
      <c r="J54" s="326">
        <f t="shared" si="21"/>
        <v>0</v>
      </c>
      <c r="K54" s="326">
        <f t="shared" si="21"/>
        <v>0</v>
      </c>
      <c r="L54" s="312">
        <f t="shared" si="21"/>
        <v>0</v>
      </c>
      <c r="M54" s="332"/>
      <c r="N54" s="333">
        <f t="shared" si="21"/>
        <v>1024320</v>
      </c>
      <c r="O54" s="329">
        <f t="shared" si="21"/>
        <v>0</v>
      </c>
      <c r="P54" s="329">
        <f t="shared" si="21"/>
        <v>0</v>
      </c>
      <c r="Q54" s="329">
        <f t="shared" si="21"/>
        <v>1024320</v>
      </c>
      <c r="R54" s="329">
        <f t="shared" ref="R54" si="22">SUM(R56)</f>
        <v>1024320</v>
      </c>
    </row>
    <row r="55" spans="1:19" ht="17.100000000000001" customHeight="1" x14ac:dyDescent="0.2">
      <c r="A55" s="52"/>
      <c r="B55" s="53"/>
      <c r="C55" s="26"/>
      <c r="D55" s="98" t="s">
        <v>8</v>
      </c>
      <c r="E55" s="29"/>
      <c r="F55" s="29"/>
      <c r="G55" s="329"/>
      <c r="H55" s="330"/>
      <c r="I55" s="331"/>
      <c r="J55" s="326"/>
      <c r="K55" s="326"/>
      <c r="L55" s="312"/>
      <c r="M55" s="332"/>
      <c r="N55" s="333"/>
      <c r="O55" s="329"/>
      <c r="P55" s="329"/>
      <c r="Q55" s="329"/>
      <c r="R55" s="329"/>
    </row>
    <row r="56" spans="1:19" ht="17.100000000000001" customHeight="1" thickBot="1" x14ac:dyDescent="0.25">
      <c r="A56" s="52"/>
      <c r="B56" s="53"/>
      <c r="C56" s="26"/>
      <c r="D56" s="85" t="s">
        <v>14</v>
      </c>
      <c r="E56" s="29">
        <f>SUM(I56,N56)</f>
        <v>1024320</v>
      </c>
      <c r="F56" s="29"/>
      <c r="G56" s="329">
        <f>SUM(Q56,L56)</f>
        <v>1024320</v>
      </c>
      <c r="H56" s="330">
        <f>SUM(M56,R56)</f>
        <v>1024320</v>
      </c>
      <c r="I56" s="331"/>
      <c r="J56" s="326"/>
      <c r="K56" s="326"/>
      <c r="L56" s="312">
        <f>SUM(I56-J56+K56)</f>
        <v>0</v>
      </c>
      <c r="M56" s="332"/>
      <c r="N56" s="333">
        <v>1024320</v>
      </c>
      <c r="O56" s="329"/>
      <c r="P56" s="329"/>
      <c r="Q56" s="329">
        <f>SUM(N56-O56+P56)</f>
        <v>1024320</v>
      </c>
      <c r="R56" s="329">
        <v>1024320</v>
      </c>
    </row>
    <row r="57" spans="1:19" s="2" customFormat="1" ht="16.5" customHeight="1" x14ac:dyDescent="0.2">
      <c r="A57" s="94">
        <v>801</v>
      </c>
      <c r="B57" s="288"/>
      <c r="C57" s="128" t="s">
        <v>21</v>
      </c>
      <c r="D57" s="97" t="s">
        <v>7</v>
      </c>
      <c r="E57" s="84">
        <f>SUM(E59:E60)</f>
        <v>533828930</v>
      </c>
      <c r="F57" s="84">
        <v>0</v>
      </c>
      <c r="G57" s="345">
        <f>SUM(G59:G60)</f>
        <v>709593333.3900001</v>
      </c>
      <c r="H57" s="354">
        <f>SUM(H59:H60)</f>
        <v>706543236.11999989</v>
      </c>
      <c r="I57" s="355">
        <f t="shared" ref="I57:Q57" si="23">SUM(I59:I60)</f>
        <v>532114240</v>
      </c>
      <c r="J57" s="345">
        <f t="shared" si="23"/>
        <v>31838140</v>
      </c>
      <c r="K57" s="345">
        <f t="shared" si="23"/>
        <v>199525251</v>
      </c>
      <c r="L57" s="345">
        <f t="shared" si="23"/>
        <v>699801351</v>
      </c>
      <c r="M57" s="354">
        <f t="shared" ref="M57" si="24">SUM(M59:M60)</f>
        <v>697298614.81999993</v>
      </c>
      <c r="N57" s="355">
        <f t="shared" si="23"/>
        <v>1714690</v>
      </c>
      <c r="O57" s="345">
        <f t="shared" si="23"/>
        <v>10839956.050000001</v>
      </c>
      <c r="P57" s="345">
        <f t="shared" si="23"/>
        <v>18917248.439999998</v>
      </c>
      <c r="Q57" s="345">
        <f t="shared" si="23"/>
        <v>9791982.3900000006</v>
      </c>
      <c r="R57" s="345">
        <f t="shared" ref="R57" si="25">SUM(R59:R60)</f>
        <v>9244621.3000000007</v>
      </c>
      <c r="S57" s="167"/>
    </row>
    <row r="58" spans="1:19" s="2" customFormat="1" ht="15.75" customHeight="1" x14ac:dyDescent="0.2">
      <c r="A58" s="81"/>
      <c r="B58" s="101"/>
      <c r="C58" s="102"/>
      <c r="D58" s="103" t="s">
        <v>8</v>
      </c>
      <c r="E58" s="51"/>
      <c r="F58" s="51"/>
      <c r="G58" s="323"/>
      <c r="H58" s="323"/>
      <c r="I58" s="356"/>
      <c r="J58" s="357"/>
      <c r="K58" s="357"/>
      <c r="L58" s="358"/>
      <c r="M58" s="359"/>
      <c r="N58" s="356"/>
      <c r="O58" s="357"/>
      <c r="P58" s="357"/>
      <c r="Q58" s="329"/>
      <c r="R58" s="329"/>
      <c r="S58" s="167"/>
    </row>
    <row r="59" spans="1:19" s="174" customFormat="1" ht="18" customHeight="1" x14ac:dyDescent="0.2">
      <c r="A59" s="9"/>
      <c r="B59" s="20"/>
      <c r="C59" s="104"/>
      <c r="D59" s="85" t="s">
        <v>11</v>
      </c>
      <c r="E59" s="105">
        <f>SUM(E63,E70,E73,E76,E79,E82,E129,E132,E139,E143,E147)</f>
        <v>401014240</v>
      </c>
      <c r="F59" s="105">
        <v>0</v>
      </c>
      <c r="G59" s="329">
        <f>SUM(G63,G70,G73,G76,G79,G82,G129,G132,G139,G143,G147)</f>
        <v>543944882.33000004</v>
      </c>
      <c r="H59" s="329">
        <f>SUM(H63,H70,H73,H76,H79,H82,H129,H132,H139,H143,H147)</f>
        <v>542760273.28999996</v>
      </c>
      <c r="I59" s="244">
        <f>SUM(I63,I70,I73,I76,I79,I82,I129,I132,I139,I143,I147)</f>
        <v>401014240</v>
      </c>
      <c r="J59" s="205">
        <f t="shared" ref="J59:Q59" si="26">SUM(J63,J70,J73,J76,J79,J82,J129,J132,J139,J143,J147)</f>
        <v>22964860</v>
      </c>
      <c r="K59" s="205">
        <f t="shared" si="26"/>
        <v>159539190</v>
      </c>
      <c r="L59" s="205">
        <f t="shared" si="26"/>
        <v>537588570</v>
      </c>
      <c r="M59" s="245">
        <f t="shared" ref="M59" si="27">SUM(M63,M70,M73,M76,M79,M82,M129,M132,M139,M143,M147)</f>
        <v>536444009.53999996</v>
      </c>
      <c r="N59" s="360">
        <f t="shared" si="26"/>
        <v>0</v>
      </c>
      <c r="O59" s="205">
        <f t="shared" si="26"/>
        <v>7417521.3799999999</v>
      </c>
      <c r="P59" s="205">
        <f t="shared" si="26"/>
        <v>13773833.709999999</v>
      </c>
      <c r="Q59" s="329">
        <f t="shared" si="26"/>
        <v>6356312.3300000001</v>
      </c>
      <c r="R59" s="329">
        <f t="shared" ref="R59" si="28">SUM(R63,R70,R73,R76,R79,R82,R129,R132,R139,R143,R147)</f>
        <v>6316263.75</v>
      </c>
      <c r="S59" s="167"/>
    </row>
    <row r="60" spans="1:19" s="174" customFormat="1" ht="15.95" customHeight="1" x14ac:dyDescent="0.2">
      <c r="A60" s="106"/>
      <c r="B60" s="107"/>
      <c r="C60" s="108"/>
      <c r="D60" s="70" t="s">
        <v>14</v>
      </c>
      <c r="E60" s="202">
        <f>SUM(E67,E94,E107,E120,E126,E110,E113,E116,E133,E136,E140,E97,E100,E103,E123)</f>
        <v>132814690</v>
      </c>
      <c r="F60" s="202">
        <f t="shared" ref="F60:K60" si="29">SUM(F67,F94,F107,F120,F126,F110,F113,F116,F133,F136,F140,F97,F100,F103,F123)</f>
        <v>0</v>
      </c>
      <c r="G60" s="329">
        <f>SUM(G67,G94,G107,G120,G126,G110,G113,G116,G133,G136,G140,G97,G100,G103,G123,G144,G148)</f>
        <v>165648451.06</v>
      </c>
      <c r="H60" s="329">
        <f>SUM(H67,H94,H107,H120,H126,H110,H113,H116,H133,H136,H140,H97,H100,H103,H123,H144,H148)</f>
        <v>163782962.82999998</v>
      </c>
      <c r="I60" s="246">
        <f>SUM(I67,I94,I107,I120,I126,I110,I113,I116,I133,I136,I140,I97,I100,I103,I123)</f>
        <v>131100000</v>
      </c>
      <c r="J60" s="206">
        <f t="shared" si="29"/>
        <v>8873280</v>
      </c>
      <c r="K60" s="206">
        <f t="shared" si="29"/>
        <v>39986061</v>
      </c>
      <c r="L60" s="206">
        <f>SUM(L67,L94,L107,L120,L126,L110,L113,L116,L133,L136,L140,L97,L100,L103,L123)</f>
        <v>162212781</v>
      </c>
      <c r="M60" s="247">
        <f>SUM(M67,M94,M107,M120,M126,M110,M113,M116,M133,M136,M140,M97,M100,M103,M123)</f>
        <v>160854605.27999997</v>
      </c>
      <c r="N60" s="246">
        <f>SUM(N67,N94,N107,N120,N126,N110,N113,N116,N133,N136,N140,N97,N100,N103,N123,N144)</f>
        <v>1714690</v>
      </c>
      <c r="O60" s="206">
        <f>SUM(O67,O94,O107,O120,O126,O110,O113,O116,O133,O136,O140,O97,O100,O103,O123,O144,O148)</f>
        <v>3422434.67</v>
      </c>
      <c r="P60" s="206">
        <f>SUM(P67,P94,P107,P120,P126,P110,P113,P116,P133,P136,P140,P97,P100,P103,P123,P144,P148)</f>
        <v>5143414.7299999995</v>
      </c>
      <c r="Q60" s="329">
        <f t="shared" ref="Q60" si="30">SUM(Q67,Q94,Q107,Q120,Q126,Q110,Q113,Q116,Q133,Q136,Q140,Q97,Q100,Q103,Q123,Q144,Q148)</f>
        <v>3435670.0599999996</v>
      </c>
      <c r="R60" s="329">
        <f t="shared" ref="R60" si="31">SUM(R67,R94,R107,R120,R126,R110,R113,R116,R133,R136,R140,R97,R100,R103,R123,R144,R148)</f>
        <v>2928357.55</v>
      </c>
      <c r="S60" s="167"/>
    </row>
    <row r="61" spans="1:19" s="2" customFormat="1" ht="17.25" customHeight="1" x14ac:dyDescent="0.2">
      <c r="A61" s="12"/>
      <c r="B61" s="109">
        <v>80101</v>
      </c>
      <c r="C61" s="104" t="s">
        <v>22</v>
      </c>
      <c r="D61" s="99" t="s">
        <v>7</v>
      </c>
      <c r="E61" s="22">
        <f>SUM(E63)</f>
        <v>108000000</v>
      </c>
      <c r="F61" s="22">
        <v>0</v>
      </c>
      <c r="G61" s="318">
        <f>SUM(G63)</f>
        <v>118815380</v>
      </c>
      <c r="H61" s="318">
        <f>SUM(H63)</f>
        <v>118592847.68000001</v>
      </c>
      <c r="I61" s="333">
        <f t="shared" ref="I61:Q61" si="32">SUM(I63)</f>
        <v>108000000</v>
      </c>
      <c r="J61" s="361">
        <f t="shared" si="32"/>
        <v>19569440</v>
      </c>
      <c r="K61" s="361">
        <f t="shared" si="32"/>
        <v>30384820</v>
      </c>
      <c r="L61" s="318">
        <f t="shared" si="32"/>
        <v>118815380</v>
      </c>
      <c r="M61" s="362">
        <f t="shared" ref="M61" si="33">SUM(M63)</f>
        <v>118592847.68000001</v>
      </c>
      <c r="N61" s="331">
        <f t="shared" si="32"/>
        <v>0</v>
      </c>
      <c r="O61" s="363">
        <f t="shared" si="32"/>
        <v>0</v>
      </c>
      <c r="P61" s="364">
        <f t="shared" si="32"/>
        <v>0</v>
      </c>
      <c r="Q61" s="365">
        <f t="shared" si="32"/>
        <v>0</v>
      </c>
      <c r="R61" s="366"/>
      <c r="S61" s="167"/>
    </row>
    <row r="62" spans="1:19" s="174" customFormat="1" ht="16.5" customHeight="1" x14ac:dyDescent="0.2">
      <c r="A62" s="12"/>
      <c r="B62" s="110"/>
      <c r="C62" s="102"/>
      <c r="D62" s="98" t="s">
        <v>8</v>
      </c>
      <c r="E62" s="18"/>
      <c r="F62" s="18"/>
      <c r="G62" s="329"/>
      <c r="H62" s="367"/>
      <c r="I62" s="244"/>
      <c r="J62" s="329"/>
      <c r="K62" s="329"/>
      <c r="L62" s="329"/>
      <c r="M62" s="368"/>
      <c r="N62" s="360"/>
      <c r="O62" s="369"/>
      <c r="P62" s="370"/>
      <c r="Q62" s="370">
        <v>0</v>
      </c>
      <c r="R62" s="329"/>
      <c r="S62" s="167"/>
    </row>
    <row r="63" spans="1:19" s="174" customFormat="1" ht="18.75" customHeight="1" x14ac:dyDescent="0.2">
      <c r="A63" s="12"/>
      <c r="B63" s="111"/>
      <c r="C63" s="108"/>
      <c r="D63" s="70" t="s">
        <v>11</v>
      </c>
      <c r="E63" s="18">
        <f>SUM(I63,N63)</f>
        <v>108000000</v>
      </c>
      <c r="F63" s="18"/>
      <c r="G63" s="329">
        <f>SUM(L63,Q63)</f>
        <v>118815380</v>
      </c>
      <c r="H63" s="367">
        <f>SUM(M63,R63)</f>
        <v>118592847.68000001</v>
      </c>
      <c r="I63" s="244">
        <v>108000000</v>
      </c>
      <c r="J63" s="329">
        <f>5300000+1450000+1762000+10900000+157440</f>
        <v>19569440</v>
      </c>
      <c r="K63" s="329">
        <f>599730+1574490+8050000+490790+9870000+104000+9360910+220000+114900</f>
        <v>30384820</v>
      </c>
      <c r="L63" s="329">
        <f>SUM(I63-J63+K63)</f>
        <v>118815380</v>
      </c>
      <c r="M63" s="368">
        <v>118592847.68000001</v>
      </c>
      <c r="N63" s="360"/>
      <c r="O63" s="369"/>
      <c r="P63" s="370"/>
      <c r="Q63" s="370">
        <f>SUM(N63-O63+P63)</f>
        <v>0</v>
      </c>
      <c r="R63" s="329"/>
      <c r="S63" s="167"/>
    </row>
    <row r="64" spans="1:19" s="174" customFormat="1" ht="13.9" hidden="1" customHeight="1" x14ac:dyDescent="0.2">
      <c r="A64" s="12"/>
      <c r="B64" s="110"/>
      <c r="C64" s="102"/>
      <c r="D64" s="105" t="s">
        <v>23</v>
      </c>
      <c r="E64" s="18"/>
      <c r="F64" s="18"/>
      <c r="G64" s="329">
        <v>0</v>
      </c>
      <c r="H64" s="367"/>
      <c r="I64" s="244"/>
      <c r="J64" s="323"/>
      <c r="K64" s="323"/>
      <c r="L64" s="318">
        <v>0</v>
      </c>
      <c r="M64" s="368"/>
      <c r="N64" s="244"/>
      <c r="O64" s="323"/>
      <c r="P64" s="323"/>
      <c r="Q64" s="329">
        <v>0</v>
      </c>
      <c r="R64" s="329"/>
      <c r="S64" s="167"/>
    </row>
    <row r="65" spans="1:19" s="174" customFormat="1" ht="21" customHeight="1" x14ac:dyDescent="0.2">
      <c r="A65" s="12"/>
      <c r="B65" s="109">
        <v>80102</v>
      </c>
      <c r="C65" s="104" t="s">
        <v>24</v>
      </c>
      <c r="D65" s="112" t="s">
        <v>7</v>
      </c>
      <c r="E65" s="207">
        <f>SUM(E67)</f>
        <v>19214690</v>
      </c>
      <c r="F65" s="207">
        <v>0</v>
      </c>
      <c r="G65" s="318">
        <f>SUM(G67)</f>
        <v>21921810</v>
      </c>
      <c r="H65" s="318">
        <f>SUM(H67)</f>
        <v>21421718.650000002</v>
      </c>
      <c r="I65" s="342">
        <f t="shared" ref="I65:R65" si="34">SUM(I67)</f>
        <v>17500000</v>
      </c>
      <c r="J65" s="371">
        <f t="shared" si="34"/>
        <v>2199100</v>
      </c>
      <c r="K65" s="371">
        <f t="shared" si="34"/>
        <v>4906220</v>
      </c>
      <c r="L65" s="318">
        <f t="shared" si="34"/>
        <v>20207120</v>
      </c>
      <c r="M65" s="362">
        <f t="shared" si="34"/>
        <v>20207012.850000001</v>
      </c>
      <c r="N65" s="342">
        <f t="shared" si="34"/>
        <v>1714690</v>
      </c>
      <c r="O65" s="338">
        <f t="shared" si="34"/>
        <v>0</v>
      </c>
      <c r="P65" s="318">
        <f t="shared" si="34"/>
        <v>0</v>
      </c>
      <c r="Q65" s="318">
        <f t="shared" si="34"/>
        <v>1714690</v>
      </c>
      <c r="R65" s="318">
        <f t="shared" si="34"/>
        <v>1214705.8</v>
      </c>
      <c r="S65" s="167"/>
    </row>
    <row r="66" spans="1:19" s="174" customFormat="1" ht="15.75" customHeight="1" x14ac:dyDescent="0.2">
      <c r="A66" s="12"/>
      <c r="B66" s="110"/>
      <c r="C66" s="102"/>
      <c r="D66" s="98" t="s">
        <v>8</v>
      </c>
      <c r="E66" s="18"/>
      <c r="F66" s="18"/>
      <c r="G66" s="323"/>
      <c r="H66" s="372"/>
      <c r="I66" s="244"/>
      <c r="J66" s="329"/>
      <c r="K66" s="329"/>
      <c r="L66" s="329"/>
      <c r="M66" s="368"/>
      <c r="N66" s="244"/>
      <c r="O66" s="323"/>
      <c r="P66" s="329"/>
      <c r="Q66" s="329"/>
      <c r="R66" s="329"/>
      <c r="S66" s="167"/>
    </row>
    <row r="67" spans="1:19" s="174" customFormat="1" ht="16.5" customHeight="1" x14ac:dyDescent="0.2">
      <c r="A67" s="12"/>
      <c r="B67" s="111"/>
      <c r="C67" s="108"/>
      <c r="D67" s="70" t="s">
        <v>14</v>
      </c>
      <c r="E67" s="89">
        <f>SUM(I67,N67)</f>
        <v>19214690</v>
      </c>
      <c r="F67" s="89"/>
      <c r="G67" s="329">
        <f>SUM(L67,Q67)</f>
        <v>21921810</v>
      </c>
      <c r="H67" s="373">
        <f>SUM(M67,R67)</f>
        <v>21421718.650000002</v>
      </c>
      <c r="I67" s="374">
        <v>17500000</v>
      </c>
      <c r="J67" s="351">
        <f>400000+1590000+90600+50600+67900</f>
        <v>2199100</v>
      </c>
      <c r="K67" s="351">
        <f>325030+1009610+396200+1780000+1395380</f>
        <v>4906220</v>
      </c>
      <c r="L67" s="329">
        <f>SUM(I67-J67+K67)</f>
        <v>20207120</v>
      </c>
      <c r="M67" s="368">
        <v>20207012.850000001</v>
      </c>
      <c r="N67" s="374">
        <v>1714690</v>
      </c>
      <c r="O67" s="323"/>
      <c r="P67" s="329"/>
      <c r="Q67" s="329">
        <f>SUM(N67-O67+P67)</f>
        <v>1714690</v>
      </c>
      <c r="R67" s="329">
        <v>1214705.8</v>
      </c>
      <c r="S67" s="167"/>
    </row>
    <row r="68" spans="1:19" s="174" customFormat="1" ht="18.75" customHeight="1" x14ac:dyDescent="0.2">
      <c r="A68" s="12"/>
      <c r="B68" s="109">
        <v>80103</v>
      </c>
      <c r="C68" s="104" t="s">
        <v>25</v>
      </c>
      <c r="D68" s="99" t="s">
        <v>7</v>
      </c>
      <c r="E68" s="207">
        <f>SUM(E70)</f>
        <v>900000</v>
      </c>
      <c r="F68" s="207">
        <v>0</v>
      </c>
      <c r="G68" s="318">
        <f>SUM(G70)</f>
        <v>955380</v>
      </c>
      <c r="H68" s="318">
        <f>SUM(H70)</f>
        <v>955274.88</v>
      </c>
      <c r="I68" s="342">
        <f t="shared" ref="I68:Q68" si="35">SUM(I70)</f>
        <v>900000</v>
      </c>
      <c r="J68" s="371">
        <f t="shared" si="35"/>
        <v>200670</v>
      </c>
      <c r="K68" s="371">
        <f t="shared" si="35"/>
        <v>256050</v>
      </c>
      <c r="L68" s="318">
        <f>SUM(L70)</f>
        <v>955380</v>
      </c>
      <c r="M68" s="362">
        <f>SUM(M70)</f>
        <v>955274.88</v>
      </c>
      <c r="N68" s="334">
        <f t="shared" si="35"/>
        <v>0</v>
      </c>
      <c r="O68" s="375">
        <f t="shared" si="35"/>
        <v>0</v>
      </c>
      <c r="P68" s="375">
        <f t="shared" si="35"/>
        <v>0</v>
      </c>
      <c r="Q68" s="365">
        <f t="shared" si="35"/>
        <v>0</v>
      </c>
      <c r="R68" s="318"/>
      <c r="S68" s="167"/>
    </row>
    <row r="69" spans="1:19" s="174" customFormat="1" ht="17.25" customHeight="1" x14ac:dyDescent="0.2">
      <c r="A69" s="12"/>
      <c r="B69" s="110"/>
      <c r="C69" s="102"/>
      <c r="D69" s="98" t="s">
        <v>8</v>
      </c>
      <c r="E69" s="105"/>
      <c r="F69" s="105"/>
      <c r="G69" s="329"/>
      <c r="H69" s="376"/>
      <c r="I69" s="244"/>
      <c r="J69" s="205"/>
      <c r="K69" s="205"/>
      <c r="L69" s="329"/>
      <c r="M69" s="245"/>
      <c r="N69" s="360"/>
      <c r="O69" s="369"/>
      <c r="P69" s="369"/>
      <c r="Q69" s="370"/>
      <c r="R69" s="329"/>
      <c r="S69" s="167"/>
    </row>
    <row r="70" spans="1:19" s="174" customFormat="1" ht="17.25" customHeight="1" x14ac:dyDescent="0.2">
      <c r="A70" s="12"/>
      <c r="B70" s="110"/>
      <c r="C70" s="102"/>
      <c r="D70" s="70" t="s">
        <v>11</v>
      </c>
      <c r="E70" s="105">
        <f>SUM(I70,N70)</f>
        <v>900000</v>
      </c>
      <c r="F70" s="105"/>
      <c r="G70" s="329">
        <f>SUM(L70,Q70)</f>
        <v>955380</v>
      </c>
      <c r="H70" s="376">
        <f>SUM(M70,R70)</f>
        <v>955274.88</v>
      </c>
      <c r="I70" s="244">
        <v>900000</v>
      </c>
      <c r="J70" s="205">
        <f>168000+27870+4800</f>
        <v>200670</v>
      </c>
      <c r="K70" s="329">
        <f>1360+30000+6190+3230+75000+32000+108270</f>
        <v>256050</v>
      </c>
      <c r="L70" s="329">
        <f>SUM(I70-J70+K70)</f>
        <v>955380</v>
      </c>
      <c r="M70" s="245">
        <v>955274.88</v>
      </c>
      <c r="N70" s="360"/>
      <c r="O70" s="369"/>
      <c r="P70" s="377"/>
      <c r="Q70" s="370">
        <f>SUM(N70-O70+P70)</f>
        <v>0</v>
      </c>
      <c r="R70" s="329"/>
      <c r="S70" s="167"/>
    </row>
    <row r="71" spans="1:19" s="174" customFormat="1" ht="16.5" customHeight="1" x14ac:dyDescent="0.2">
      <c r="A71" s="12"/>
      <c r="B71" s="113">
        <v>80104</v>
      </c>
      <c r="C71" s="114" t="s">
        <v>26</v>
      </c>
      <c r="D71" s="115" t="s">
        <v>7</v>
      </c>
      <c r="E71" s="207">
        <f>SUM(E73)</f>
        <v>240414240</v>
      </c>
      <c r="F71" s="207">
        <v>0</v>
      </c>
      <c r="G71" s="318">
        <f>SUM(G73)</f>
        <v>346272559</v>
      </c>
      <c r="H71" s="318">
        <f>SUM(H73)</f>
        <v>345443764.44999999</v>
      </c>
      <c r="I71" s="342">
        <f t="shared" ref="I71:Q71" si="36">SUM(I73)</f>
        <v>240414240</v>
      </c>
      <c r="J71" s="371">
        <f t="shared" si="36"/>
        <v>294380</v>
      </c>
      <c r="K71" s="371">
        <f t="shared" si="36"/>
        <v>106152699</v>
      </c>
      <c r="L71" s="318">
        <f t="shared" si="36"/>
        <v>346272559</v>
      </c>
      <c r="M71" s="362">
        <f t="shared" si="36"/>
        <v>345443764.44999999</v>
      </c>
      <c r="N71" s="334">
        <f t="shared" si="36"/>
        <v>0</v>
      </c>
      <c r="O71" s="378">
        <f t="shared" si="36"/>
        <v>0</v>
      </c>
      <c r="P71" s="378">
        <f t="shared" si="36"/>
        <v>0</v>
      </c>
      <c r="Q71" s="365">
        <f t="shared" si="36"/>
        <v>0</v>
      </c>
      <c r="R71" s="318"/>
      <c r="S71" s="167"/>
    </row>
    <row r="72" spans="1:19" s="174" customFormat="1" ht="19.5" customHeight="1" x14ac:dyDescent="0.2">
      <c r="A72" s="12"/>
      <c r="B72" s="110"/>
      <c r="C72" s="102"/>
      <c r="D72" s="98" t="s">
        <v>8</v>
      </c>
      <c r="E72" s="18"/>
      <c r="F72" s="18"/>
      <c r="G72" s="329"/>
      <c r="H72" s="367"/>
      <c r="I72" s="244"/>
      <c r="J72" s="323"/>
      <c r="K72" s="323"/>
      <c r="L72" s="329"/>
      <c r="M72" s="368"/>
      <c r="N72" s="360"/>
      <c r="O72" s="369"/>
      <c r="P72" s="369"/>
      <c r="Q72" s="370">
        <v>0</v>
      </c>
      <c r="R72" s="329"/>
      <c r="S72" s="167"/>
    </row>
    <row r="73" spans="1:19" s="174" customFormat="1" ht="17.25" customHeight="1" x14ac:dyDescent="0.2">
      <c r="A73" s="12"/>
      <c r="B73" s="110"/>
      <c r="C73" s="102"/>
      <c r="D73" s="116" t="s">
        <v>11</v>
      </c>
      <c r="E73" s="18">
        <f>SUM(I73,N73)</f>
        <v>240414240</v>
      </c>
      <c r="F73" s="18"/>
      <c r="G73" s="329">
        <f>SUM(L73,Q73)</f>
        <v>346272559</v>
      </c>
      <c r="H73" s="367">
        <f>SUM(M73,R73)</f>
        <v>345443764.44999999</v>
      </c>
      <c r="I73" s="244">
        <v>240414240</v>
      </c>
      <c r="J73" s="329">
        <f>268180+26200</f>
        <v>294380</v>
      </c>
      <c r="K73" s="329">
        <f>442344+1584516+14180056+756552+761100+1000000+2076883+151976+8300000+12620000+41285+28330000+1133794+440000+3749000+25282773+5040855+261565</f>
        <v>106152699</v>
      </c>
      <c r="L73" s="329">
        <f>SUM(I73-J73+K73)</f>
        <v>346272559</v>
      </c>
      <c r="M73" s="368">
        <v>345443764.44999999</v>
      </c>
      <c r="N73" s="360"/>
      <c r="O73" s="312"/>
      <c r="P73" s="370"/>
      <c r="Q73" s="370">
        <f>SUM(N73-O73+P73)</f>
        <v>0</v>
      </c>
      <c r="R73" s="329"/>
      <c r="S73" s="167"/>
    </row>
    <row r="74" spans="1:19" s="174" customFormat="1" ht="17.25" customHeight="1" x14ac:dyDescent="0.2">
      <c r="A74" s="12"/>
      <c r="B74" s="113">
        <v>80105</v>
      </c>
      <c r="C74" s="114" t="s">
        <v>27</v>
      </c>
      <c r="D74" s="112" t="s">
        <v>7</v>
      </c>
      <c r="E74" s="207">
        <f>SUM(E76)</f>
        <v>10600000</v>
      </c>
      <c r="F74" s="207">
        <v>0</v>
      </c>
      <c r="G74" s="318">
        <f>SUM(G76)</f>
        <v>10372360</v>
      </c>
      <c r="H74" s="318">
        <f>SUM(H76)</f>
        <v>10364909.42</v>
      </c>
      <c r="I74" s="342">
        <f t="shared" ref="I74:Q74" si="37">SUM(I76)</f>
        <v>10600000</v>
      </c>
      <c r="J74" s="371">
        <f t="shared" si="37"/>
        <v>2343310</v>
      </c>
      <c r="K74" s="371">
        <f t="shared" si="37"/>
        <v>2115670</v>
      </c>
      <c r="L74" s="318">
        <f t="shared" si="37"/>
        <v>10372360</v>
      </c>
      <c r="M74" s="362">
        <f t="shared" si="37"/>
        <v>10364909.42</v>
      </c>
      <c r="N74" s="334">
        <f t="shared" si="37"/>
        <v>0</v>
      </c>
      <c r="O74" s="375">
        <f t="shared" si="37"/>
        <v>0</v>
      </c>
      <c r="P74" s="375">
        <f t="shared" si="37"/>
        <v>0</v>
      </c>
      <c r="Q74" s="365">
        <f t="shared" si="37"/>
        <v>0</v>
      </c>
      <c r="R74" s="318"/>
      <c r="S74" s="167"/>
    </row>
    <row r="75" spans="1:19" s="174" customFormat="1" ht="16.5" customHeight="1" x14ac:dyDescent="0.2">
      <c r="A75" s="12"/>
      <c r="B75" s="110"/>
      <c r="C75" s="102"/>
      <c r="D75" s="98" t="s">
        <v>8</v>
      </c>
      <c r="E75" s="18"/>
      <c r="F75" s="18"/>
      <c r="G75" s="329"/>
      <c r="H75" s="367"/>
      <c r="I75" s="244"/>
      <c r="J75" s="329"/>
      <c r="K75" s="329"/>
      <c r="L75" s="329"/>
      <c r="M75" s="368"/>
      <c r="N75" s="360"/>
      <c r="O75" s="369"/>
      <c r="P75" s="369"/>
      <c r="Q75" s="370">
        <v>0</v>
      </c>
      <c r="R75" s="329"/>
      <c r="S75" s="167"/>
    </row>
    <row r="76" spans="1:19" s="174" customFormat="1" ht="17.25" customHeight="1" x14ac:dyDescent="0.2">
      <c r="A76" s="12"/>
      <c r="B76" s="110"/>
      <c r="C76" s="102"/>
      <c r="D76" s="85" t="s">
        <v>16</v>
      </c>
      <c r="E76" s="18">
        <f>SUM(I76,N76)</f>
        <v>10600000</v>
      </c>
      <c r="F76" s="18"/>
      <c r="G76" s="329">
        <f>SUM(L76,Q76)</f>
        <v>10372360</v>
      </c>
      <c r="H76" s="367">
        <f>SUM(M76,R76)</f>
        <v>10364909.42</v>
      </c>
      <c r="I76" s="244">
        <v>10600000</v>
      </c>
      <c r="J76" s="329">
        <f>2170000+132940+20370+20000</f>
        <v>2343310</v>
      </c>
      <c r="K76" s="329">
        <f>85300+248230+49030+800000+65200+867910</f>
        <v>2115670</v>
      </c>
      <c r="L76" s="329">
        <f>SUM(I76-J76+K76)</f>
        <v>10372360</v>
      </c>
      <c r="M76" s="368">
        <v>10364909.42</v>
      </c>
      <c r="N76" s="360"/>
      <c r="O76" s="369"/>
      <c r="P76" s="369"/>
      <c r="Q76" s="370">
        <f>SUM(N76-O76+P76)</f>
        <v>0</v>
      </c>
      <c r="R76" s="329"/>
      <c r="S76" s="167"/>
    </row>
    <row r="77" spans="1:19" s="174" customFormat="1" ht="17.25" customHeight="1" x14ac:dyDescent="0.2">
      <c r="A77" s="12"/>
      <c r="B77" s="113">
        <v>80106</v>
      </c>
      <c r="C77" s="114" t="s">
        <v>86</v>
      </c>
      <c r="D77" s="112" t="s">
        <v>7</v>
      </c>
      <c r="E77" s="117">
        <f>SUM(E79)</f>
        <v>2100000</v>
      </c>
      <c r="F77" s="117">
        <v>0</v>
      </c>
      <c r="G77" s="318">
        <f>SUM(G79)</f>
        <v>2439570</v>
      </c>
      <c r="H77" s="318">
        <f>SUM(H79)</f>
        <v>2439512.13</v>
      </c>
      <c r="I77" s="379">
        <f t="shared" ref="I77:Q77" si="38">SUM(I79)</f>
        <v>2100000</v>
      </c>
      <c r="J77" s="380">
        <f t="shared" si="38"/>
        <v>167710</v>
      </c>
      <c r="K77" s="380">
        <f t="shared" si="38"/>
        <v>507280</v>
      </c>
      <c r="L77" s="318">
        <f t="shared" si="38"/>
        <v>2439570</v>
      </c>
      <c r="M77" s="362">
        <f t="shared" si="38"/>
        <v>2439512.13</v>
      </c>
      <c r="N77" s="381">
        <f t="shared" si="38"/>
        <v>0</v>
      </c>
      <c r="O77" s="375">
        <f t="shared" si="38"/>
        <v>0</v>
      </c>
      <c r="P77" s="375">
        <f t="shared" si="38"/>
        <v>0</v>
      </c>
      <c r="Q77" s="365">
        <f t="shared" si="38"/>
        <v>0</v>
      </c>
      <c r="R77" s="318"/>
      <c r="S77" s="167"/>
    </row>
    <row r="78" spans="1:19" s="174" customFormat="1" ht="17.25" customHeight="1" x14ac:dyDescent="0.2">
      <c r="A78" s="12"/>
      <c r="B78" s="110"/>
      <c r="C78" s="102"/>
      <c r="D78" s="98" t="s">
        <v>8</v>
      </c>
      <c r="E78" s="105"/>
      <c r="F78" s="105"/>
      <c r="G78" s="329"/>
      <c r="H78" s="376"/>
      <c r="I78" s="244"/>
      <c r="J78" s="205"/>
      <c r="K78" s="205"/>
      <c r="L78" s="329"/>
      <c r="M78" s="245"/>
      <c r="N78" s="360"/>
      <c r="O78" s="369"/>
      <c r="P78" s="369"/>
      <c r="Q78" s="370"/>
      <c r="R78" s="329"/>
      <c r="S78" s="167"/>
    </row>
    <row r="79" spans="1:19" s="174" customFormat="1" ht="17.25" customHeight="1" x14ac:dyDescent="0.2">
      <c r="A79" s="12"/>
      <c r="B79" s="110"/>
      <c r="C79" s="102"/>
      <c r="D79" s="85" t="s">
        <v>16</v>
      </c>
      <c r="E79" s="105">
        <f>SUM(I79,N79)</f>
        <v>2100000</v>
      </c>
      <c r="F79" s="105"/>
      <c r="G79" s="329">
        <f>SUM(L79,Q79)</f>
        <v>2439570</v>
      </c>
      <c r="H79" s="376">
        <f>SUM(M79,R79)</f>
        <v>2439512.13</v>
      </c>
      <c r="I79" s="244">
        <v>2100000</v>
      </c>
      <c r="J79" s="205">
        <f>140000+16110+11600</f>
        <v>167710</v>
      </c>
      <c r="K79" s="205">
        <f>26640+58480+9870+190000+18000+204290</f>
        <v>507280</v>
      </c>
      <c r="L79" s="329">
        <f>SUM(I79-J79+K79)</f>
        <v>2439570</v>
      </c>
      <c r="M79" s="245">
        <v>2439512.13</v>
      </c>
      <c r="N79" s="360"/>
      <c r="O79" s="369"/>
      <c r="P79" s="369"/>
      <c r="Q79" s="370">
        <f>SUM(N79-O79+P79)</f>
        <v>0</v>
      </c>
      <c r="R79" s="329"/>
      <c r="S79" s="167"/>
    </row>
    <row r="80" spans="1:19" s="174" customFormat="1" ht="18" hidden="1" customHeight="1" x14ac:dyDescent="0.2">
      <c r="A80" s="12"/>
      <c r="B80" s="113">
        <v>80110</v>
      </c>
      <c r="C80" s="114" t="s">
        <v>28</v>
      </c>
      <c r="D80" s="115" t="s">
        <v>7</v>
      </c>
      <c r="E80" s="207">
        <f>SUM(E82)</f>
        <v>0</v>
      </c>
      <c r="F80" s="207">
        <v>0</v>
      </c>
      <c r="G80" s="318">
        <f>SUM(G82)</f>
        <v>0</v>
      </c>
      <c r="H80" s="382"/>
      <c r="I80" s="342">
        <f t="shared" ref="I80:Q80" si="39">SUM(I82)</f>
        <v>0</v>
      </c>
      <c r="J80" s="371">
        <f t="shared" si="39"/>
        <v>0</v>
      </c>
      <c r="K80" s="371">
        <f t="shared" si="39"/>
        <v>0</v>
      </c>
      <c r="L80" s="318">
        <f t="shared" si="39"/>
        <v>0</v>
      </c>
      <c r="M80" s="383"/>
      <c r="N80" s="334">
        <f t="shared" si="39"/>
        <v>0</v>
      </c>
      <c r="O80" s="365">
        <f t="shared" si="39"/>
        <v>0</v>
      </c>
      <c r="P80" s="375">
        <f t="shared" si="39"/>
        <v>0</v>
      </c>
      <c r="Q80" s="365">
        <f t="shared" si="39"/>
        <v>0</v>
      </c>
      <c r="R80" s="329"/>
      <c r="S80" s="167"/>
    </row>
    <row r="81" spans="1:19" s="174" customFormat="1" ht="17.25" hidden="1" customHeight="1" x14ac:dyDescent="0.2">
      <c r="A81" s="12"/>
      <c r="B81" s="109"/>
      <c r="C81" s="102"/>
      <c r="D81" s="98" t="s">
        <v>8</v>
      </c>
      <c r="E81" s="18"/>
      <c r="F81" s="18"/>
      <c r="G81" s="329">
        <v>0</v>
      </c>
      <c r="H81" s="367"/>
      <c r="I81" s="244"/>
      <c r="J81" s="329"/>
      <c r="K81" s="329"/>
      <c r="L81" s="329">
        <v>0</v>
      </c>
      <c r="M81" s="368"/>
      <c r="N81" s="360"/>
      <c r="O81" s="370"/>
      <c r="P81" s="369"/>
      <c r="Q81" s="370">
        <v>0</v>
      </c>
      <c r="R81" s="329"/>
      <c r="S81" s="167"/>
    </row>
    <row r="82" spans="1:19" s="174" customFormat="1" ht="18.75" hidden="1" customHeight="1" x14ac:dyDescent="0.2">
      <c r="A82" s="12"/>
      <c r="B82" s="109"/>
      <c r="C82" s="102"/>
      <c r="D82" s="85" t="s">
        <v>11</v>
      </c>
      <c r="E82" s="18">
        <f>SUM(I82,N82)</f>
        <v>0</v>
      </c>
      <c r="F82" s="18"/>
      <c r="G82" s="329">
        <f>SUM(L82,Q82)</f>
        <v>0</v>
      </c>
      <c r="H82" s="367"/>
      <c r="I82" s="244"/>
      <c r="J82" s="329"/>
      <c r="K82" s="329"/>
      <c r="L82" s="329">
        <f>SUM(I82-J82+K82)</f>
        <v>0</v>
      </c>
      <c r="M82" s="368"/>
      <c r="N82" s="360"/>
      <c r="O82" s="370"/>
      <c r="P82" s="370"/>
      <c r="Q82" s="370">
        <f>SUM(N82-O82+P82)</f>
        <v>0</v>
      </c>
      <c r="R82" s="329"/>
      <c r="S82" s="167"/>
    </row>
    <row r="83" spans="1:19" s="174" customFormat="1" ht="13.9" hidden="1" customHeight="1" x14ac:dyDescent="0.2">
      <c r="A83" s="12"/>
      <c r="B83" s="109"/>
      <c r="C83" s="102"/>
      <c r="D83" s="105" t="s">
        <v>23</v>
      </c>
      <c r="E83" s="18"/>
      <c r="F83" s="18"/>
      <c r="G83" s="329">
        <v>0</v>
      </c>
      <c r="H83" s="367"/>
      <c r="I83" s="244"/>
      <c r="J83" s="323"/>
      <c r="K83" s="323"/>
      <c r="L83" s="318">
        <v>0</v>
      </c>
      <c r="M83" s="368"/>
      <c r="N83" s="360"/>
      <c r="O83" s="369"/>
      <c r="P83" s="369"/>
      <c r="Q83" s="370">
        <v>0</v>
      </c>
      <c r="R83" s="329"/>
      <c r="S83" s="167"/>
    </row>
    <row r="84" spans="1:19" s="174" customFormat="1" ht="13.9" hidden="1" customHeight="1" x14ac:dyDescent="0.2">
      <c r="A84" s="12"/>
      <c r="B84" s="113">
        <v>80113</v>
      </c>
      <c r="C84" s="114" t="s">
        <v>29</v>
      </c>
      <c r="D84" s="115" t="s">
        <v>7</v>
      </c>
      <c r="E84" s="18"/>
      <c r="F84" s="18"/>
      <c r="G84" s="329">
        <v>0</v>
      </c>
      <c r="H84" s="367"/>
      <c r="I84" s="244"/>
      <c r="J84" s="323"/>
      <c r="K84" s="323"/>
      <c r="L84" s="318">
        <v>0</v>
      </c>
      <c r="M84" s="368"/>
      <c r="N84" s="360"/>
      <c r="O84" s="369"/>
      <c r="P84" s="369"/>
      <c r="Q84" s="370">
        <v>0</v>
      </c>
      <c r="R84" s="329"/>
      <c r="S84" s="167"/>
    </row>
    <row r="85" spans="1:19" s="174" customFormat="1" ht="13.9" hidden="1" customHeight="1" x14ac:dyDescent="0.2">
      <c r="A85" s="12"/>
      <c r="B85" s="109"/>
      <c r="C85" s="104"/>
      <c r="D85" s="98" t="s">
        <v>8</v>
      </c>
      <c r="E85" s="18"/>
      <c r="F85" s="18"/>
      <c r="G85" s="329">
        <v>0</v>
      </c>
      <c r="H85" s="367"/>
      <c r="I85" s="244"/>
      <c r="J85" s="323"/>
      <c r="K85" s="323"/>
      <c r="L85" s="318">
        <v>0</v>
      </c>
      <c r="M85" s="368"/>
      <c r="N85" s="360"/>
      <c r="O85" s="369"/>
      <c r="P85" s="369"/>
      <c r="Q85" s="370">
        <v>0</v>
      </c>
      <c r="R85" s="329"/>
      <c r="S85" s="167"/>
    </row>
    <row r="86" spans="1:19" s="174" customFormat="1" ht="13.9" hidden="1" customHeight="1" x14ac:dyDescent="0.2">
      <c r="A86" s="12"/>
      <c r="B86" s="109"/>
      <c r="C86" s="104"/>
      <c r="D86" s="85" t="s">
        <v>11</v>
      </c>
      <c r="E86" s="18"/>
      <c r="F86" s="18"/>
      <c r="G86" s="329">
        <v>0</v>
      </c>
      <c r="H86" s="367"/>
      <c r="I86" s="244"/>
      <c r="J86" s="323"/>
      <c r="K86" s="323"/>
      <c r="L86" s="318">
        <v>0</v>
      </c>
      <c r="M86" s="368"/>
      <c r="N86" s="360"/>
      <c r="O86" s="369"/>
      <c r="P86" s="369"/>
      <c r="Q86" s="370">
        <v>0</v>
      </c>
      <c r="R86" s="329"/>
      <c r="S86" s="167"/>
    </row>
    <row r="87" spans="1:19" s="174" customFormat="1" ht="13.9" hidden="1" customHeight="1" x14ac:dyDescent="0.2">
      <c r="A87" s="12"/>
      <c r="B87" s="109"/>
      <c r="C87" s="104"/>
      <c r="D87" s="116" t="s">
        <v>14</v>
      </c>
      <c r="E87" s="18"/>
      <c r="F87" s="18"/>
      <c r="G87" s="329">
        <v>0</v>
      </c>
      <c r="H87" s="367"/>
      <c r="I87" s="244"/>
      <c r="J87" s="323"/>
      <c r="K87" s="323"/>
      <c r="L87" s="318">
        <v>0</v>
      </c>
      <c r="M87" s="368"/>
      <c r="N87" s="360"/>
      <c r="O87" s="369"/>
      <c r="P87" s="369"/>
      <c r="Q87" s="370">
        <v>0</v>
      </c>
      <c r="R87" s="329"/>
      <c r="S87" s="167"/>
    </row>
    <row r="88" spans="1:19" s="174" customFormat="1" ht="13.9" hidden="1" customHeight="1" x14ac:dyDescent="0.2">
      <c r="A88" s="12"/>
      <c r="B88" s="113">
        <v>80114</v>
      </c>
      <c r="C88" s="114" t="s">
        <v>30</v>
      </c>
      <c r="D88" s="115" t="s">
        <v>7</v>
      </c>
      <c r="E88" s="18"/>
      <c r="F88" s="18"/>
      <c r="G88" s="329">
        <v>0</v>
      </c>
      <c r="H88" s="367"/>
      <c r="I88" s="244"/>
      <c r="J88" s="323"/>
      <c r="K88" s="323"/>
      <c r="L88" s="318">
        <v>0</v>
      </c>
      <c r="M88" s="368"/>
      <c r="N88" s="360"/>
      <c r="O88" s="369"/>
      <c r="P88" s="369"/>
      <c r="Q88" s="370">
        <v>0</v>
      </c>
      <c r="R88" s="329"/>
      <c r="S88" s="167"/>
    </row>
    <row r="89" spans="1:19" s="174" customFormat="1" ht="13.9" hidden="1" customHeight="1" x14ac:dyDescent="0.2">
      <c r="A89" s="12"/>
      <c r="B89" s="109"/>
      <c r="C89" s="104"/>
      <c r="D89" s="98" t="s">
        <v>8</v>
      </c>
      <c r="E89" s="18"/>
      <c r="F89" s="18"/>
      <c r="G89" s="329">
        <v>0</v>
      </c>
      <c r="H89" s="367"/>
      <c r="I89" s="244"/>
      <c r="J89" s="323"/>
      <c r="K89" s="323"/>
      <c r="L89" s="318">
        <v>0</v>
      </c>
      <c r="M89" s="368"/>
      <c r="N89" s="360"/>
      <c r="O89" s="369"/>
      <c r="P89" s="369"/>
      <c r="Q89" s="370">
        <v>0</v>
      </c>
      <c r="R89" s="329"/>
      <c r="S89" s="167"/>
    </row>
    <row r="90" spans="1:19" s="174" customFormat="1" ht="13.9" hidden="1" customHeight="1" x14ac:dyDescent="0.2">
      <c r="A90" s="12"/>
      <c r="B90" s="109"/>
      <c r="C90" s="104"/>
      <c r="D90" s="85" t="s">
        <v>11</v>
      </c>
      <c r="E90" s="18"/>
      <c r="F90" s="18"/>
      <c r="G90" s="329">
        <v>0</v>
      </c>
      <c r="H90" s="367"/>
      <c r="I90" s="244"/>
      <c r="J90" s="323"/>
      <c r="K90" s="323"/>
      <c r="L90" s="318">
        <v>0</v>
      </c>
      <c r="M90" s="368"/>
      <c r="N90" s="360"/>
      <c r="O90" s="369"/>
      <c r="P90" s="369"/>
      <c r="Q90" s="370">
        <v>0</v>
      </c>
      <c r="R90" s="329"/>
      <c r="S90" s="167"/>
    </row>
    <row r="91" spans="1:19" s="174" customFormat="1" ht="13.9" hidden="1" customHeight="1" x14ac:dyDescent="0.2">
      <c r="A91" s="12"/>
      <c r="B91" s="109"/>
      <c r="C91" s="104"/>
      <c r="D91" s="116" t="s">
        <v>14</v>
      </c>
      <c r="E91" s="18"/>
      <c r="F91" s="18"/>
      <c r="G91" s="329">
        <v>0</v>
      </c>
      <c r="H91" s="367"/>
      <c r="I91" s="244"/>
      <c r="J91" s="323"/>
      <c r="K91" s="323"/>
      <c r="L91" s="318">
        <v>0</v>
      </c>
      <c r="M91" s="368"/>
      <c r="N91" s="360"/>
      <c r="O91" s="369"/>
      <c r="P91" s="369"/>
      <c r="Q91" s="370">
        <v>0</v>
      </c>
      <c r="R91" s="329"/>
      <c r="S91" s="167"/>
    </row>
    <row r="92" spans="1:19" s="174" customFormat="1" ht="21" hidden="1" customHeight="1" x14ac:dyDescent="0.2">
      <c r="A92" s="12"/>
      <c r="B92" s="113">
        <v>80111</v>
      </c>
      <c r="C92" s="114" t="s">
        <v>31</v>
      </c>
      <c r="D92" s="115" t="s">
        <v>7</v>
      </c>
      <c r="E92" s="207">
        <f>SUM(E94)</f>
        <v>0</v>
      </c>
      <c r="F92" s="207">
        <v>0</v>
      </c>
      <c r="G92" s="318">
        <f>SUM(G94)</f>
        <v>0</v>
      </c>
      <c r="H92" s="382"/>
      <c r="I92" s="342">
        <f t="shared" ref="I92:Q92" si="40">SUM(I94)</f>
        <v>0</v>
      </c>
      <c r="J92" s="371">
        <f t="shared" si="40"/>
        <v>0</v>
      </c>
      <c r="K92" s="371">
        <f t="shared" si="40"/>
        <v>0</v>
      </c>
      <c r="L92" s="318">
        <f t="shared" si="40"/>
        <v>0</v>
      </c>
      <c r="M92" s="383"/>
      <c r="N92" s="334">
        <f t="shared" si="40"/>
        <v>0</v>
      </c>
      <c r="O92" s="375">
        <f t="shared" si="40"/>
        <v>0</v>
      </c>
      <c r="P92" s="375">
        <f t="shared" si="40"/>
        <v>0</v>
      </c>
      <c r="Q92" s="365">
        <f t="shared" si="40"/>
        <v>0</v>
      </c>
      <c r="R92" s="329"/>
      <c r="S92" s="167"/>
    </row>
    <row r="93" spans="1:19" s="174" customFormat="1" ht="18" hidden="1" customHeight="1" x14ac:dyDescent="0.2">
      <c r="A93" s="12"/>
      <c r="B93" s="109"/>
      <c r="C93" s="104"/>
      <c r="D93" s="98" t="s">
        <v>8</v>
      </c>
      <c r="E93" s="18"/>
      <c r="F93" s="18"/>
      <c r="G93" s="329">
        <v>0</v>
      </c>
      <c r="H93" s="367"/>
      <c r="I93" s="244"/>
      <c r="J93" s="329"/>
      <c r="K93" s="329"/>
      <c r="L93" s="329">
        <v>0</v>
      </c>
      <c r="M93" s="368"/>
      <c r="N93" s="360"/>
      <c r="O93" s="369"/>
      <c r="P93" s="369"/>
      <c r="Q93" s="370">
        <v>0</v>
      </c>
      <c r="R93" s="329"/>
      <c r="S93" s="167"/>
    </row>
    <row r="94" spans="1:19" s="174" customFormat="1" ht="17.25" hidden="1" customHeight="1" x14ac:dyDescent="0.2">
      <c r="A94" s="12"/>
      <c r="B94" s="118"/>
      <c r="C94" s="119"/>
      <c r="D94" s="70" t="s">
        <v>14</v>
      </c>
      <c r="E94" s="89">
        <f>SUM(I94,N94)</f>
        <v>0</v>
      </c>
      <c r="F94" s="89"/>
      <c r="G94" s="329">
        <f>SUM(L94,Q94)</f>
        <v>0</v>
      </c>
      <c r="H94" s="373"/>
      <c r="I94" s="374"/>
      <c r="J94" s="351"/>
      <c r="K94" s="351"/>
      <c r="L94" s="329">
        <f>SUM(I94-J94+K94)</f>
        <v>0</v>
      </c>
      <c r="M94" s="368"/>
      <c r="N94" s="360"/>
      <c r="O94" s="369"/>
      <c r="P94" s="369"/>
      <c r="Q94" s="370">
        <f>SUM(N94-O94+P94)</f>
        <v>0</v>
      </c>
      <c r="R94" s="329"/>
      <c r="S94" s="167"/>
    </row>
    <row r="95" spans="1:19" s="174" customFormat="1" ht="17.25" customHeight="1" x14ac:dyDescent="0.2">
      <c r="A95" s="12"/>
      <c r="B95" s="113">
        <v>80115</v>
      </c>
      <c r="C95" s="114" t="s">
        <v>105</v>
      </c>
      <c r="D95" s="115" t="s">
        <v>7</v>
      </c>
      <c r="E95" s="117">
        <f>SUM(E97)</f>
        <v>13500000</v>
      </c>
      <c r="F95" s="117"/>
      <c r="G95" s="318">
        <f>SUM(G97)</f>
        <v>19099945</v>
      </c>
      <c r="H95" s="318">
        <f>SUM(H97)</f>
        <v>19099883.739999998</v>
      </c>
      <c r="I95" s="379">
        <f t="shared" ref="I95:Q95" si="41">SUM(I97)</f>
        <v>13500000</v>
      </c>
      <c r="J95" s="380">
        <f t="shared" si="41"/>
        <v>110850</v>
      </c>
      <c r="K95" s="380">
        <f t="shared" si="41"/>
        <v>5710795</v>
      </c>
      <c r="L95" s="318">
        <f t="shared" si="41"/>
        <v>19099945</v>
      </c>
      <c r="M95" s="362">
        <f t="shared" si="41"/>
        <v>19099883.739999998</v>
      </c>
      <c r="N95" s="381">
        <f t="shared" si="41"/>
        <v>0</v>
      </c>
      <c r="O95" s="375">
        <f t="shared" si="41"/>
        <v>0</v>
      </c>
      <c r="P95" s="375">
        <f t="shared" si="41"/>
        <v>0</v>
      </c>
      <c r="Q95" s="365">
        <f t="shared" si="41"/>
        <v>0</v>
      </c>
      <c r="R95" s="318"/>
      <c r="S95" s="167"/>
    </row>
    <row r="96" spans="1:19" s="174" customFormat="1" ht="17.25" customHeight="1" x14ac:dyDescent="0.2">
      <c r="A96" s="12"/>
      <c r="B96" s="109"/>
      <c r="C96" s="104"/>
      <c r="D96" s="98" t="s">
        <v>8</v>
      </c>
      <c r="E96" s="105"/>
      <c r="F96" s="105"/>
      <c r="G96" s="329"/>
      <c r="H96" s="376"/>
      <c r="I96" s="244"/>
      <c r="J96" s="205"/>
      <c r="K96" s="205"/>
      <c r="L96" s="329"/>
      <c r="M96" s="245"/>
      <c r="N96" s="360"/>
      <c r="O96" s="369"/>
      <c r="P96" s="369"/>
      <c r="Q96" s="370"/>
      <c r="R96" s="329"/>
      <c r="S96" s="167"/>
    </row>
    <row r="97" spans="1:19" s="174" customFormat="1" ht="17.25" customHeight="1" x14ac:dyDescent="0.2">
      <c r="A97" s="12"/>
      <c r="B97" s="109"/>
      <c r="C97" s="104"/>
      <c r="D97" s="70" t="s">
        <v>14</v>
      </c>
      <c r="E97" s="105">
        <f>SUM(I97,N97)</f>
        <v>13500000</v>
      </c>
      <c r="F97" s="105"/>
      <c r="G97" s="329">
        <f>SUM(L97,Q97)</f>
        <v>19099945</v>
      </c>
      <c r="H97" s="376">
        <f>SUM(M97,R97)</f>
        <v>19099883.739999998</v>
      </c>
      <c r="I97" s="244">
        <v>13500000</v>
      </c>
      <c r="J97" s="323">
        <f>55250+14500+41100</f>
        <v>110850</v>
      </c>
      <c r="K97" s="205">
        <f>251440+300000+824760+820000+198230+1750000+76915+1489450</f>
        <v>5710795</v>
      </c>
      <c r="L97" s="329">
        <f>SUM(I97-J97+K97)</f>
        <v>19099945</v>
      </c>
      <c r="M97" s="245">
        <v>19099883.739999998</v>
      </c>
      <c r="N97" s="360"/>
      <c r="O97" s="369"/>
      <c r="P97" s="369"/>
      <c r="Q97" s="370">
        <f>SUM(N97-O97+P97)</f>
        <v>0</v>
      </c>
      <c r="R97" s="329"/>
      <c r="S97" s="167"/>
    </row>
    <row r="98" spans="1:19" s="174" customFormat="1" ht="17.25" customHeight="1" x14ac:dyDescent="0.2">
      <c r="A98" s="12"/>
      <c r="B98" s="113">
        <v>80116</v>
      </c>
      <c r="C98" s="114" t="s">
        <v>106</v>
      </c>
      <c r="D98" s="115" t="s">
        <v>7</v>
      </c>
      <c r="E98" s="117">
        <f>SUM(E100)</f>
        <v>31000000</v>
      </c>
      <c r="F98" s="117"/>
      <c r="G98" s="318">
        <f>SUM(G100)</f>
        <v>41700550</v>
      </c>
      <c r="H98" s="318">
        <f>SUM(H100)</f>
        <v>40426635.960000001</v>
      </c>
      <c r="I98" s="379">
        <f t="shared" ref="I98:Q98" si="42">SUM(I100)</f>
        <v>31000000</v>
      </c>
      <c r="J98" s="380">
        <f t="shared" si="42"/>
        <v>140000</v>
      </c>
      <c r="K98" s="380">
        <f t="shared" si="42"/>
        <v>10840550</v>
      </c>
      <c r="L98" s="318">
        <f t="shared" si="42"/>
        <v>41700550</v>
      </c>
      <c r="M98" s="362">
        <f t="shared" si="42"/>
        <v>40426635.960000001</v>
      </c>
      <c r="N98" s="381">
        <f t="shared" si="42"/>
        <v>0</v>
      </c>
      <c r="O98" s="375">
        <f t="shared" si="42"/>
        <v>0</v>
      </c>
      <c r="P98" s="375">
        <f t="shared" si="42"/>
        <v>0</v>
      </c>
      <c r="Q98" s="365">
        <f t="shared" si="42"/>
        <v>0</v>
      </c>
      <c r="R98" s="318"/>
      <c r="S98" s="167"/>
    </row>
    <row r="99" spans="1:19" s="174" customFormat="1" ht="17.25" customHeight="1" x14ac:dyDescent="0.2">
      <c r="A99" s="12"/>
      <c r="B99" s="109"/>
      <c r="C99" s="104"/>
      <c r="D99" s="98" t="s">
        <v>8</v>
      </c>
      <c r="E99" s="105"/>
      <c r="F99" s="105"/>
      <c r="G99" s="329"/>
      <c r="H99" s="376"/>
      <c r="I99" s="244"/>
      <c r="J99" s="205"/>
      <c r="K99" s="205"/>
      <c r="L99" s="329"/>
      <c r="M99" s="245"/>
      <c r="N99" s="360"/>
      <c r="O99" s="369"/>
      <c r="P99" s="369"/>
      <c r="Q99" s="370"/>
      <c r="R99" s="329"/>
      <c r="S99" s="167"/>
    </row>
    <row r="100" spans="1:19" s="174" customFormat="1" ht="18" customHeight="1" x14ac:dyDescent="0.2">
      <c r="A100" s="111"/>
      <c r="B100" s="118"/>
      <c r="C100" s="119"/>
      <c r="D100" s="70" t="s">
        <v>14</v>
      </c>
      <c r="E100" s="209">
        <f>SUM(I100,N100)</f>
        <v>31000000</v>
      </c>
      <c r="F100" s="209"/>
      <c r="G100" s="351">
        <f>SUM(L100,Q100)</f>
        <v>41700550</v>
      </c>
      <c r="H100" s="384">
        <f>SUM(M100,R100)</f>
        <v>40426635.960000001</v>
      </c>
      <c r="I100" s="374">
        <v>31000000</v>
      </c>
      <c r="J100" s="385">
        <v>140000</v>
      </c>
      <c r="K100" s="385">
        <f>1300000+3200000+3200000+2839240+146310+155000</f>
        <v>10840550</v>
      </c>
      <c r="L100" s="351">
        <f>SUM(I100-J100+K100)</f>
        <v>41700550</v>
      </c>
      <c r="M100" s="386">
        <v>40426635.960000001</v>
      </c>
      <c r="N100" s="387"/>
      <c r="O100" s="388"/>
      <c r="P100" s="388"/>
      <c r="Q100" s="389">
        <f>SUM(N100-O100+P100)</f>
        <v>0</v>
      </c>
      <c r="R100" s="351"/>
      <c r="S100" s="167"/>
    </row>
    <row r="101" spans="1:19" s="174" customFormat="1" ht="17.25" customHeight="1" x14ac:dyDescent="0.2">
      <c r="A101" s="290"/>
      <c r="B101" s="113">
        <v>80117</v>
      </c>
      <c r="C101" s="114" t="s">
        <v>107</v>
      </c>
      <c r="D101" s="115" t="s">
        <v>7</v>
      </c>
      <c r="E101" s="117">
        <f>SUM(E103)</f>
        <v>10000000</v>
      </c>
      <c r="F101" s="117"/>
      <c r="G101" s="318">
        <f>SUM(G103)</f>
        <v>7403190</v>
      </c>
      <c r="H101" s="318">
        <f>SUM(H103)</f>
        <v>7395178.79</v>
      </c>
      <c r="I101" s="379">
        <f t="shared" ref="I101:Q101" si="43">SUM(I103)</f>
        <v>10000000</v>
      </c>
      <c r="J101" s="380">
        <f t="shared" si="43"/>
        <v>4181660</v>
      </c>
      <c r="K101" s="380">
        <f t="shared" si="43"/>
        <v>1584850</v>
      </c>
      <c r="L101" s="318">
        <f t="shared" si="43"/>
        <v>7403190</v>
      </c>
      <c r="M101" s="362">
        <f t="shared" si="43"/>
        <v>7395178.79</v>
      </c>
      <c r="N101" s="381">
        <f t="shared" si="43"/>
        <v>0</v>
      </c>
      <c r="O101" s="375">
        <f t="shared" si="43"/>
        <v>0</v>
      </c>
      <c r="P101" s="375">
        <f t="shared" si="43"/>
        <v>0</v>
      </c>
      <c r="Q101" s="365">
        <f t="shared" si="43"/>
        <v>0</v>
      </c>
      <c r="R101" s="318"/>
      <c r="S101" s="167"/>
    </row>
    <row r="102" spans="1:19" s="174" customFormat="1" ht="17.25" customHeight="1" x14ac:dyDescent="0.2">
      <c r="A102" s="12"/>
      <c r="B102" s="109"/>
      <c r="C102" s="104"/>
      <c r="D102" s="98" t="s">
        <v>8</v>
      </c>
      <c r="E102" s="105"/>
      <c r="F102" s="105"/>
      <c r="G102" s="329"/>
      <c r="H102" s="376"/>
      <c r="I102" s="244"/>
      <c r="J102" s="205"/>
      <c r="K102" s="205"/>
      <c r="L102" s="329"/>
      <c r="M102" s="245"/>
      <c r="N102" s="360"/>
      <c r="O102" s="369"/>
      <c r="P102" s="369"/>
      <c r="Q102" s="370"/>
      <c r="R102" s="329"/>
      <c r="S102" s="167"/>
    </row>
    <row r="103" spans="1:19" s="174" customFormat="1" ht="17.25" customHeight="1" x14ac:dyDescent="0.2">
      <c r="A103" s="12"/>
      <c r="B103" s="109"/>
      <c r="C103" s="104"/>
      <c r="D103" s="70" t="s">
        <v>14</v>
      </c>
      <c r="E103" s="105">
        <f>SUM(I103,N103)</f>
        <v>10000000</v>
      </c>
      <c r="F103" s="105"/>
      <c r="G103" s="329">
        <f>SUM(L103,Q103)</f>
        <v>7403190</v>
      </c>
      <c r="H103" s="376">
        <f>SUM(M103,R103)</f>
        <v>7395178.79</v>
      </c>
      <c r="I103" s="244">
        <v>10000000</v>
      </c>
      <c r="J103" s="205">
        <f>2940000+1100000+94760+46900</f>
        <v>4181660</v>
      </c>
      <c r="K103" s="205">
        <f>48740+164110+93020+640000+32700+606280</f>
        <v>1584850</v>
      </c>
      <c r="L103" s="329">
        <f>SUM(I103-J103+K103)</f>
        <v>7403190</v>
      </c>
      <c r="M103" s="245">
        <v>7395178.79</v>
      </c>
      <c r="N103" s="360"/>
      <c r="O103" s="369"/>
      <c r="P103" s="369"/>
      <c r="Q103" s="370">
        <f>SUM(N103-O103+P103)</f>
        <v>0</v>
      </c>
      <c r="R103" s="329"/>
      <c r="S103" s="167"/>
    </row>
    <row r="104" spans="1:19" s="174" customFormat="1" ht="18" customHeight="1" x14ac:dyDescent="0.2">
      <c r="A104" s="9"/>
      <c r="B104" s="71">
        <v>80120</v>
      </c>
      <c r="C104" s="114" t="s">
        <v>32</v>
      </c>
      <c r="D104" s="112" t="s">
        <v>7</v>
      </c>
      <c r="E104" s="207">
        <f>SUM(E107)</f>
        <v>48000000</v>
      </c>
      <c r="F104" s="207">
        <v>0</v>
      </c>
      <c r="G104" s="318">
        <f>SUM(G107)</f>
        <v>62463516</v>
      </c>
      <c r="H104" s="318">
        <f>SUM(H107)</f>
        <v>62461707.859999999</v>
      </c>
      <c r="I104" s="342">
        <f t="shared" ref="I104:Q104" si="44">SUM(I107)</f>
        <v>48000000</v>
      </c>
      <c r="J104" s="371">
        <f t="shared" si="44"/>
        <v>223170</v>
      </c>
      <c r="K104" s="371">
        <f t="shared" si="44"/>
        <v>14686686</v>
      </c>
      <c r="L104" s="318">
        <f t="shared" si="44"/>
        <v>62463516</v>
      </c>
      <c r="M104" s="362">
        <f t="shared" si="44"/>
        <v>62461707.859999999</v>
      </c>
      <c r="N104" s="334">
        <f t="shared" si="44"/>
        <v>0</v>
      </c>
      <c r="O104" s="365">
        <f t="shared" si="44"/>
        <v>0</v>
      </c>
      <c r="P104" s="365">
        <f t="shared" si="44"/>
        <v>0</v>
      </c>
      <c r="Q104" s="365">
        <f t="shared" si="44"/>
        <v>0</v>
      </c>
      <c r="R104" s="318"/>
      <c r="S104" s="167"/>
    </row>
    <row r="105" spans="1:19" s="174" customFormat="1" ht="18" customHeight="1" x14ac:dyDescent="0.2">
      <c r="A105" s="81"/>
      <c r="B105" s="101"/>
      <c r="C105" s="102"/>
      <c r="D105" s="98" t="s">
        <v>8</v>
      </c>
      <c r="E105" s="18"/>
      <c r="F105" s="18"/>
      <c r="G105" s="329"/>
      <c r="H105" s="367"/>
      <c r="I105" s="244"/>
      <c r="J105" s="329"/>
      <c r="K105" s="329"/>
      <c r="L105" s="329"/>
      <c r="M105" s="368"/>
      <c r="N105" s="360"/>
      <c r="O105" s="370"/>
      <c r="P105" s="370"/>
      <c r="Q105" s="370">
        <v>0</v>
      </c>
      <c r="R105" s="329"/>
      <c r="S105" s="167"/>
    </row>
    <row r="106" spans="1:19" s="174" customFormat="1" ht="11.25" hidden="1" customHeight="1" x14ac:dyDescent="0.2">
      <c r="A106" s="81"/>
      <c r="B106" s="101"/>
      <c r="C106" s="102"/>
      <c r="D106" s="105"/>
      <c r="E106" s="18"/>
      <c r="F106" s="18"/>
      <c r="G106" s="329">
        <v>0</v>
      </c>
      <c r="H106" s="367"/>
      <c r="I106" s="244"/>
      <c r="J106" s="329"/>
      <c r="K106" s="329"/>
      <c r="L106" s="329">
        <v>0</v>
      </c>
      <c r="M106" s="368"/>
      <c r="N106" s="360"/>
      <c r="O106" s="370"/>
      <c r="P106" s="370"/>
      <c r="Q106" s="370">
        <v>0</v>
      </c>
      <c r="R106" s="329"/>
      <c r="S106" s="167"/>
    </row>
    <row r="107" spans="1:19" s="174" customFormat="1" ht="18.75" customHeight="1" x14ac:dyDescent="0.2">
      <c r="A107" s="81"/>
      <c r="B107" s="120"/>
      <c r="C107" s="108"/>
      <c r="D107" s="70" t="s">
        <v>14</v>
      </c>
      <c r="E107" s="89">
        <f>SUM(I107,N107)</f>
        <v>48000000</v>
      </c>
      <c r="F107" s="89"/>
      <c r="G107" s="351">
        <f>SUM(L107,Q107)</f>
        <v>62463516</v>
      </c>
      <c r="H107" s="373">
        <f>SUM(M107,R107)</f>
        <v>62461707.859999999</v>
      </c>
      <c r="I107" s="374">
        <v>48000000</v>
      </c>
      <c r="J107" s="351">
        <f>183170+40000</f>
        <v>223170</v>
      </c>
      <c r="K107" s="351">
        <f>196110+527480+3050000+143490+5350000+70706+95400+5253500</f>
        <v>14686686</v>
      </c>
      <c r="L107" s="351">
        <f>SUM(I107-J107+K107)</f>
        <v>62463516</v>
      </c>
      <c r="M107" s="390">
        <v>62461707.859999999</v>
      </c>
      <c r="N107" s="387"/>
      <c r="O107" s="389"/>
      <c r="P107" s="389"/>
      <c r="Q107" s="389">
        <f>SUM(N107-O107+P107)</f>
        <v>0</v>
      </c>
      <c r="R107" s="329"/>
      <c r="S107" s="167"/>
    </row>
    <row r="108" spans="1:19" s="174" customFormat="1" ht="18.75" customHeight="1" x14ac:dyDescent="0.2">
      <c r="A108" s="81"/>
      <c r="B108" s="20">
        <v>80121</v>
      </c>
      <c r="C108" s="104" t="s">
        <v>123</v>
      </c>
      <c r="D108" s="115" t="s">
        <v>7</v>
      </c>
      <c r="E108" s="105">
        <f>SUM(E110)</f>
        <v>800000</v>
      </c>
      <c r="F108" s="105">
        <v>0</v>
      </c>
      <c r="G108" s="329">
        <f>SUM(G110)</f>
        <v>577410</v>
      </c>
      <c r="H108" s="329">
        <f>SUM(H110)</f>
        <v>577384.32999999996</v>
      </c>
      <c r="I108" s="244">
        <f t="shared" ref="I108:Q108" si="45">SUM(I110)</f>
        <v>800000</v>
      </c>
      <c r="J108" s="205">
        <f t="shared" si="45"/>
        <v>335650</v>
      </c>
      <c r="K108" s="205">
        <f t="shared" si="45"/>
        <v>113060</v>
      </c>
      <c r="L108" s="329">
        <f t="shared" si="45"/>
        <v>577410</v>
      </c>
      <c r="M108" s="368">
        <f t="shared" si="45"/>
        <v>577384.32999999996</v>
      </c>
      <c r="N108" s="360">
        <f t="shared" si="45"/>
        <v>0</v>
      </c>
      <c r="O108" s="369">
        <f t="shared" si="45"/>
        <v>0</v>
      </c>
      <c r="P108" s="369">
        <f t="shared" si="45"/>
        <v>0</v>
      </c>
      <c r="Q108" s="370">
        <f t="shared" si="45"/>
        <v>0</v>
      </c>
      <c r="R108" s="318"/>
      <c r="S108" s="167"/>
    </row>
    <row r="109" spans="1:19" s="174" customFormat="1" ht="18.75" customHeight="1" x14ac:dyDescent="0.2">
      <c r="A109" s="81"/>
      <c r="B109" s="20"/>
      <c r="C109" s="104"/>
      <c r="D109" s="98" t="s">
        <v>8</v>
      </c>
      <c r="E109" s="105"/>
      <c r="F109" s="105"/>
      <c r="G109" s="329"/>
      <c r="H109" s="376"/>
      <c r="I109" s="244"/>
      <c r="J109" s="205"/>
      <c r="K109" s="205"/>
      <c r="L109" s="329"/>
      <c r="M109" s="245"/>
      <c r="N109" s="360"/>
      <c r="O109" s="369"/>
      <c r="P109" s="369"/>
      <c r="Q109" s="370"/>
      <c r="R109" s="329"/>
      <c r="S109" s="167"/>
    </row>
    <row r="110" spans="1:19" s="174" customFormat="1" ht="18.75" customHeight="1" x14ac:dyDescent="0.2">
      <c r="A110" s="81"/>
      <c r="B110" s="20"/>
      <c r="C110" s="104"/>
      <c r="D110" s="70" t="s">
        <v>14</v>
      </c>
      <c r="E110" s="105">
        <f>SUM(I110,N110)</f>
        <v>800000</v>
      </c>
      <c r="F110" s="105"/>
      <c r="G110" s="329">
        <f>SUM(L110,Q110)</f>
        <v>577410</v>
      </c>
      <c r="H110" s="376">
        <f>SUM(M110,R110)</f>
        <v>577384.32999999996</v>
      </c>
      <c r="I110" s="244">
        <v>800000</v>
      </c>
      <c r="J110" s="205">
        <f>300000+31250+4400</f>
        <v>335650</v>
      </c>
      <c r="K110" s="205">
        <f>35000+18400+59660</f>
        <v>113060</v>
      </c>
      <c r="L110" s="329">
        <f>SUM(I110-J110+K110)</f>
        <v>577410</v>
      </c>
      <c r="M110" s="245">
        <v>577384.32999999996</v>
      </c>
      <c r="N110" s="360"/>
      <c r="O110" s="369"/>
      <c r="P110" s="369"/>
      <c r="Q110" s="370">
        <f>SUM(N110-O110+P110)</f>
        <v>0</v>
      </c>
      <c r="R110" s="329"/>
      <c r="S110" s="167"/>
    </row>
    <row r="111" spans="1:19" s="174" customFormat="1" ht="18" hidden="1" customHeight="1" x14ac:dyDescent="0.2">
      <c r="A111" s="81"/>
      <c r="B111" s="121">
        <v>80123</v>
      </c>
      <c r="C111" s="114" t="s">
        <v>33</v>
      </c>
      <c r="D111" s="112" t="s">
        <v>7</v>
      </c>
      <c r="E111" s="207">
        <f>SUM(E113)</f>
        <v>0</v>
      </c>
      <c r="F111" s="207">
        <v>0</v>
      </c>
      <c r="G111" s="318">
        <f>SUM(G113)</f>
        <v>0</v>
      </c>
      <c r="H111" s="382"/>
      <c r="I111" s="342">
        <f t="shared" ref="I111:Q111" si="46">SUM(I113)</f>
        <v>0</v>
      </c>
      <c r="J111" s="371">
        <f t="shared" si="46"/>
        <v>0</v>
      </c>
      <c r="K111" s="371">
        <f t="shared" si="46"/>
        <v>0</v>
      </c>
      <c r="L111" s="318">
        <f t="shared" si="46"/>
        <v>0</v>
      </c>
      <c r="M111" s="383"/>
      <c r="N111" s="334">
        <f t="shared" si="46"/>
        <v>0</v>
      </c>
      <c r="O111" s="375">
        <f t="shared" si="46"/>
        <v>0</v>
      </c>
      <c r="P111" s="375">
        <f t="shared" si="46"/>
        <v>0</v>
      </c>
      <c r="Q111" s="365">
        <f t="shared" si="46"/>
        <v>0</v>
      </c>
      <c r="R111" s="329"/>
      <c r="S111" s="167"/>
    </row>
    <row r="112" spans="1:19" s="174" customFormat="1" ht="18" hidden="1" customHeight="1" x14ac:dyDescent="0.2">
      <c r="A112" s="81"/>
      <c r="B112" s="101"/>
      <c r="C112" s="102"/>
      <c r="D112" s="98" t="s">
        <v>8</v>
      </c>
      <c r="E112" s="18"/>
      <c r="F112" s="18"/>
      <c r="G112" s="329">
        <v>0</v>
      </c>
      <c r="H112" s="367"/>
      <c r="I112" s="244"/>
      <c r="J112" s="329"/>
      <c r="K112" s="329"/>
      <c r="L112" s="329">
        <v>0</v>
      </c>
      <c r="M112" s="368"/>
      <c r="N112" s="360"/>
      <c r="O112" s="369"/>
      <c r="P112" s="369"/>
      <c r="Q112" s="370">
        <v>0</v>
      </c>
      <c r="R112" s="329"/>
      <c r="S112" s="167"/>
    </row>
    <row r="113" spans="1:19" s="174" customFormat="1" ht="18" hidden="1" customHeight="1" x14ac:dyDescent="0.2">
      <c r="A113" s="81"/>
      <c r="B113" s="120"/>
      <c r="C113" s="108"/>
      <c r="D113" s="70" t="s">
        <v>14</v>
      </c>
      <c r="E113" s="18">
        <f>SUM(I113,N113)</f>
        <v>0</v>
      </c>
      <c r="F113" s="18"/>
      <c r="G113" s="329">
        <f>SUM(L113,Q113)</f>
        <v>0</v>
      </c>
      <c r="H113" s="367"/>
      <c r="I113" s="244"/>
      <c r="J113" s="329"/>
      <c r="K113" s="329"/>
      <c r="L113" s="329">
        <f>SUM(I113-J113+K113)</f>
        <v>0</v>
      </c>
      <c r="M113" s="368"/>
      <c r="N113" s="360"/>
      <c r="O113" s="369"/>
      <c r="P113" s="369"/>
      <c r="Q113" s="370">
        <f>SUM(N113-O113+P113)</f>
        <v>0</v>
      </c>
      <c r="R113" s="329"/>
      <c r="S113" s="167"/>
    </row>
    <row r="114" spans="1:19" s="174" customFormat="1" ht="19.5" hidden="1" customHeight="1" x14ac:dyDescent="0.2">
      <c r="A114" s="81"/>
      <c r="B114" s="121">
        <v>80124</v>
      </c>
      <c r="C114" s="114" t="s">
        <v>34</v>
      </c>
      <c r="D114" s="112" t="s">
        <v>7</v>
      </c>
      <c r="E114" s="75">
        <f>SUM(E116)</f>
        <v>0</v>
      </c>
      <c r="F114" s="75">
        <v>0</v>
      </c>
      <c r="G114" s="318">
        <f>SUM(G116)</f>
        <v>0</v>
      </c>
      <c r="H114" s="341"/>
      <c r="I114" s="342">
        <f t="shared" ref="I114:Q114" si="47">SUM(I116)</f>
        <v>0</v>
      </c>
      <c r="J114" s="344">
        <f t="shared" si="47"/>
        <v>0</v>
      </c>
      <c r="K114" s="343">
        <f t="shared" si="47"/>
        <v>0</v>
      </c>
      <c r="L114" s="318">
        <f t="shared" si="47"/>
        <v>0</v>
      </c>
      <c r="M114" s="362"/>
      <c r="N114" s="334">
        <f t="shared" si="47"/>
        <v>0</v>
      </c>
      <c r="O114" s="375">
        <f t="shared" si="47"/>
        <v>0</v>
      </c>
      <c r="P114" s="375">
        <f t="shared" si="47"/>
        <v>0</v>
      </c>
      <c r="Q114" s="365">
        <f t="shared" si="47"/>
        <v>0</v>
      </c>
      <c r="R114" s="329"/>
      <c r="S114" s="167"/>
    </row>
    <row r="115" spans="1:19" s="174" customFormat="1" ht="15" hidden="1" customHeight="1" x14ac:dyDescent="0.2">
      <c r="A115" s="81"/>
      <c r="B115" s="101"/>
      <c r="C115" s="102"/>
      <c r="D115" s="98" t="s">
        <v>8</v>
      </c>
      <c r="E115" s="18"/>
      <c r="F115" s="18"/>
      <c r="G115" s="329">
        <v>0</v>
      </c>
      <c r="H115" s="367"/>
      <c r="I115" s="244"/>
      <c r="J115" s="329"/>
      <c r="K115" s="323"/>
      <c r="L115" s="329">
        <v>0</v>
      </c>
      <c r="M115" s="368"/>
      <c r="N115" s="360"/>
      <c r="O115" s="369"/>
      <c r="P115" s="369"/>
      <c r="Q115" s="370">
        <v>0</v>
      </c>
      <c r="R115" s="329"/>
      <c r="S115" s="167"/>
    </row>
    <row r="116" spans="1:19" s="174" customFormat="1" ht="17.25" hidden="1" customHeight="1" x14ac:dyDescent="0.2">
      <c r="A116" s="81"/>
      <c r="B116" s="120"/>
      <c r="C116" s="108"/>
      <c r="D116" s="70" t="s">
        <v>14</v>
      </c>
      <c r="E116" s="89">
        <f>SUM(I116,N116)</f>
        <v>0</v>
      </c>
      <c r="F116" s="89"/>
      <c r="G116" s="329">
        <f>SUM(L116,Q116)</f>
        <v>0</v>
      </c>
      <c r="H116" s="373"/>
      <c r="I116" s="374"/>
      <c r="J116" s="351"/>
      <c r="K116" s="391"/>
      <c r="L116" s="329">
        <f>SUM(I116-J116+K116)</f>
        <v>0</v>
      </c>
      <c r="M116" s="368"/>
      <c r="N116" s="387"/>
      <c r="O116" s="369"/>
      <c r="P116" s="369"/>
      <c r="Q116" s="370">
        <f>SUM(N116-O116+P116)</f>
        <v>0</v>
      </c>
      <c r="R116" s="329"/>
      <c r="S116" s="167"/>
    </row>
    <row r="117" spans="1:19" s="174" customFormat="1" ht="17.25" hidden="1" customHeight="1" x14ac:dyDescent="0.2">
      <c r="A117" s="81"/>
      <c r="B117" s="9">
        <v>80130</v>
      </c>
      <c r="C117" s="104" t="s">
        <v>35</v>
      </c>
      <c r="D117" s="99" t="s">
        <v>7</v>
      </c>
      <c r="E117" s="22">
        <f>SUM(E120)</f>
        <v>0</v>
      </c>
      <c r="F117" s="22">
        <v>0</v>
      </c>
      <c r="G117" s="318">
        <f>SUM(G120)</f>
        <v>0</v>
      </c>
      <c r="H117" s="392"/>
      <c r="I117" s="333">
        <f t="shared" ref="I117:Q117" si="48">SUM(I120)</f>
        <v>0</v>
      </c>
      <c r="J117" s="361">
        <f t="shared" si="48"/>
        <v>0</v>
      </c>
      <c r="K117" s="361">
        <f t="shared" si="48"/>
        <v>0</v>
      </c>
      <c r="L117" s="318">
        <f t="shared" si="48"/>
        <v>0</v>
      </c>
      <c r="M117" s="245"/>
      <c r="N117" s="331">
        <f t="shared" si="48"/>
        <v>0</v>
      </c>
      <c r="O117" s="375">
        <f t="shared" si="48"/>
        <v>0</v>
      </c>
      <c r="P117" s="375">
        <f t="shared" si="48"/>
        <v>0</v>
      </c>
      <c r="Q117" s="365">
        <f t="shared" si="48"/>
        <v>0</v>
      </c>
      <c r="R117" s="329"/>
      <c r="S117" s="167"/>
    </row>
    <row r="118" spans="1:19" s="174" customFormat="1" ht="17.25" hidden="1" customHeight="1" x14ac:dyDescent="0.2">
      <c r="A118" s="81"/>
      <c r="B118" s="101"/>
      <c r="C118" s="102"/>
      <c r="D118" s="98" t="s">
        <v>8</v>
      </c>
      <c r="E118" s="18"/>
      <c r="F118" s="18"/>
      <c r="G118" s="329"/>
      <c r="H118" s="367"/>
      <c r="I118" s="244"/>
      <c r="J118" s="329"/>
      <c r="K118" s="329"/>
      <c r="L118" s="329"/>
      <c r="M118" s="368"/>
      <c r="N118" s="360"/>
      <c r="O118" s="369"/>
      <c r="P118" s="369"/>
      <c r="Q118" s="370"/>
      <c r="R118" s="329"/>
      <c r="S118" s="167"/>
    </row>
    <row r="119" spans="1:19" s="174" customFormat="1" ht="13.9" hidden="1" customHeight="1" x14ac:dyDescent="0.2">
      <c r="A119" s="9"/>
      <c r="B119" s="20"/>
      <c r="C119" s="104"/>
      <c r="D119" s="105" t="s">
        <v>36</v>
      </c>
      <c r="E119" s="18"/>
      <c r="F119" s="18"/>
      <c r="G119" s="329">
        <v>0</v>
      </c>
      <c r="H119" s="367"/>
      <c r="I119" s="244"/>
      <c r="J119" s="329"/>
      <c r="K119" s="329"/>
      <c r="L119" s="329">
        <v>0</v>
      </c>
      <c r="M119" s="368"/>
      <c r="N119" s="360"/>
      <c r="O119" s="369"/>
      <c r="P119" s="369"/>
      <c r="Q119" s="370">
        <v>0</v>
      </c>
      <c r="R119" s="329"/>
      <c r="S119" s="167"/>
    </row>
    <row r="120" spans="1:19" s="174" customFormat="1" ht="18.75" hidden="1" customHeight="1" x14ac:dyDescent="0.2">
      <c r="A120" s="9"/>
      <c r="B120" s="11"/>
      <c r="C120" s="119"/>
      <c r="D120" s="123" t="s">
        <v>14</v>
      </c>
      <c r="E120" s="89">
        <f>SUM(I120,N120)</f>
        <v>0</v>
      </c>
      <c r="F120" s="89"/>
      <c r="G120" s="351">
        <f>SUM(L120,Q120)</f>
        <v>0</v>
      </c>
      <c r="H120" s="373"/>
      <c r="I120" s="374"/>
      <c r="J120" s="351"/>
      <c r="K120" s="351"/>
      <c r="L120" s="351">
        <f>SUM(I120-J120+K120)</f>
        <v>0</v>
      </c>
      <c r="M120" s="390"/>
      <c r="N120" s="387"/>
      <c r="O120" s="388"/>
      <c r="P120" s="388"/>
      <c r="Q120" s="389">
        <f>SUM(N120-O120+P120)</f>
        <v>0</v>
      </c>
      <c r="R120" s="329"/>
      <c r="S120" s="167"/>
    </row>
    <row r="121" spans="1:19" s="174" customFormat="1" ht="18.75" hidden="1" customHeight="1" x14ac:dyDescent="0.2">
      <c r="A121" s="9"/>
      <c r="B121" s="20">
        <v>80132</v>
      </c>
      <c r="C121" s="104" t="s">
        <v>104</v>
      </c>
      <c r="D121" s="85" t="s">
        <v>7</v>
      </c>
      <c r="E121" s="105">
        <f>SUM(E123)</f>
        <v>0</v>
      </c>
      <c r="F121" s="105"/>
      <c r="G121" s="329">
        <f>SUM(G123)</f>
        <v>0</v>
      </c>
      <c r="H121" s="376"/>
      <c r="I121" s="244"/>
      <c r="J121" s="205"/>
      <c r="K121" s="205"/>
      <c r="L121" s="329"/>
      <c r="M121" s="245"/>
      <c r="N121" s="360">
        <f>SUM(N123)</f>
        <v>0</v>
      </c>
      <c r="O121" s="369">
        <f t="shared" ref="O121:Q121" si="49">SUM(O123)</f>
        <v>0</v>
      </c>
      <c r="P121" s="369">
        <f t="shared" si="49"/>
        <v>0</v>
      </c>
      <c r="Q121" s="370">
        <f t="shared" si="49"/>
        <v>0</v>
      </c>
      <c r="R121" s="329"/>
      <c r="S121" s="167"/>
    </row>
    <row r="122" spans="1:19" s="174" customFormat="1" ht="18.75" hidden="1" customHeight="1" x14ac:dyDescent="0.2">
      <c r="A122" s="9"/>
      <c r="B122" s="20"/>
      <c r="C122" s="104"/>
      <c r="D122" s="85" t="s">
        <v>8</v>
      </c>
      <c r="E122" s="105"/>
      <c r="F122" s="105"/>
      <c r="G122" s="329"/>
      <c r="H122" s="376"/>
      <c r="I122" s="244"/>
      <c r="J122" s="205"/>
      <c r="K122" s="205"/>
      <c r="L122" s="329"/>
      <c r="M122" s="245"/>
      <c r="N122" s="360"/>
      <c r="O122" s="369"/>
      <c r="P122" s="369"/>
      <c r="Q122" s="370"/>
      <c r="R122" s="329"/>
      <c r="S122" s="167"/>
    </row>
    <row r="123" spans="1:19" s="174" customFormat="1" ht="18.75" hidden="1" customHeight="1" x14ac:dyDescent="0.2">
      <c r="A123" s="9"/>
      <c r="B123" s="20"/>
      <c r="C123" s="104"/>
      <c r="D123" s="85" t="s">
        <v>14</v>
      </c>
      <c r="E123" s="105">
        <f>SUM(I123,N123)</f>
        <v>0</v>
      </c>
      <c r="F123" s="105"/>
      <c r="G123" s="329">
        <f>SUM(L123,Q123)</f>
        <v>0</v>
      </c>
      <c r="H123" s="376"/>
      <c r="I123" s="244"/>
      <c r="J123" s="205"/>
      <c r="K123" s="205"/>
      <c r="L123" s="329"/>
      <c r="M123" s="245"/>
      <c r="N123" s="360"/>
      <c r="O123" s="369"/>
      <c r="P123" s="369"/>
      <c r="Q123" s="370">
        <f>SUM(N123-O123+P123)</f>
        <v>0</v>
      </c>
      <c r="R123" s="329"/>
      <c r="S123" s="167"/>
    </row>
    <row r="124" spans="1:19" s="174" customFormat="1" ht="21" customHeight="1" x14ac:dyDescent="0.2">
      <c r="A124" s="9"/>
      <c r="B124" s="71">
        <v>80134</v>
      </c>
      <c r="C124" s="114" t="s">
        <v>37</v>
      </c>
      <c r="D124" s="112" t="s">
        <v>7</v>
      </c>
      <c r="E124" s="207">
        <f>SUM(E126)</f>
        <v>1500000</v>
      </c>
      <c r="F124" s="207">
        <v>0</v>
      </c>
      <c r="G124" s="318">
        <f>SUM(G126)</f>
        <v>1583920</v>
      </c>
      <c r="H124" s="318">
        <f>SUM(H126)</f>
        <v>1576489.6</v>
      </c>
      <c r="I124" s="342">
        <f t="shared" ref="I124:Q124" si="50">SUM(I126)</f>
        <v>1500000</v>
      </c>
      <c r="J124" s="371">
        <f t="shared" si="50"/>
        <v>183830</v>
      </c>
      <c r="K124" s="371">
        <f t="shared" si="50"/>
        <v>267750</v>
      </c>
      <c r="L124" s="318">
        <f t="shared" si="50"/>
        <v>1583920</v>
      </c>
      <c r="M124" s="362">
        <f t="shared" si="50"/>
        <v>1576489.6</v>
      </c>
      <c r="N124" s="334">
        <f t="shared" si="50"/>
        <v>0</v>
      </c>
      <c r="O124" s="375">
        <f t="shared" si="50"/>
        <v>0</v>
      </c>
      <c r="P124" s="375">
        <f t="shared" si="50"/>
        <v>0</v>
      </c>
      <c r="Q124" s="365">
        <f t="shared" si="50"/>
        <v>0</v>
      </c>
      <c r="R124" s="318"/>
      <c r="S124" s="167"/>
    </row>
    <row r="125" spans="1:19" s="174" customFormat="1" ht="18.75" customHeight="1" x14ac:dyDescent="0.2">
      <c r="A125" s="9"/>
      <c r="B125" s="20"/>
      <c r="C125" s="104"/>
      <c r="D125" s="98" t="s">
        <v>8</v>
      </c>
      <c r="E125" s="18"/>
      <c r="F125" s="18"/>
      <c r="G125" s="329"/>
      <c r="H125" s="367"/>
      <c r="I125" s="244"/>
      <c r="J125" s="329"/>
      <c r="K125" s="329"/>
      <c r="L125" s="329"/>
      <c r="M125" s="368"/>
      <c r="N125" s="360"/>
      <c r="O125" s="369"/>
      <c r="P125" s="369"/>
      <c r="Q125" s="370">
        <v>0</v>
      </c>
      <c r="R125" s="329"/>
      <c r="S125" s="167"/>
    </row>
    <row r="126" spans="1:19" s="174" customFormat="1" ht="22.5" customHeight="1" x14ac:dyDescent="0.2">
      <c r="A126" s="9"/>
      <c r="B126" s="9"/>
      <c r="C126" s="104"/>
      <c r="D126" s="85" t="s">
        <v>14</v>
      </c>
      <c r="E126" s="18">
        <f>SUM(I126,N126)</f>
        <v>1500000</v>
      </c>
      <c r="F126" s="18"/>
      <c r="G126" s="329">
        <f>SUM(L126,Q126)</f>
        <v>1583920</v>
      </c>
      <c r="H126" s="367">
        <f>SUM(M126,R126)</f>
        <v>1576489.6</v>
      </c>
      <c r="I126" s="244">
        <v>1500000</v>
      </c>
      <c r="J126" s="329">
        <f>140000+43830</f>
        <v>183830</v>
      </c>
      <c r="K126" s="329">
        <f>60000+90000+7000+104550+6200</f>
        <v>267750</v>
      </c>
      <c r="L126" s="329">
        <f>SUM(I126-J126+K126)</f>
        <v>1583920</v>
      </c>
      <c r="M126" s="368">
        <v>1576489.6</v>
      </c>
      <c r="N126" s="360"/>
      <c r="O126" s="369"/>
      <c r="P126" s="369"/>
      <c r="Q126" s="370">
        <f>SUM(N126-O126+P126)</f>
        <v>0</v>
      </c>
      <c r="R126" s="329"/>
      <c r="S126" s="167"/>
    </row>
    <row r="127" spans="1:19" s="174" customFormat="1" ht="65.25" customHeight="1" x14ac:dyDescent="0.2">
      <c r="A127" s="9"/>
      <c r="B127" s="71">
        <v>80149</v>
      </c>
      <c r="C127" s="124" t="s">
        <v>95</v>
      </c>
      <c r="D127" s="91" t="s">
        <v>7</v>
      </c>
      <c r="E127" s="117">
        <f>SUM(E129)</f>
        <v>21000000</v>
      </c>
      <c r="F127" s="117"/>
      <c r="G127" s="318">
        <f>SUM(L127,Q127)</f>
        <v>33722401</v>
      </c>
      <c r="H127" s="318">
        <f>SUM(M127,R127)</f>
        <v>33636869.020000003</v>
      </c>
      <c r="I127" s="379">
        <f>SUM(I129)</f>
        <v>21000000</v>
      </c>
      <c r="J127" s="380">
        <f t="shared" ref="J127:K127" si="51">SUM(J129)</f>
        <v>235870</v>
      </c>
      <c r="K127" s="380">
        <f t="shared" si="51"/>
        <v>12958271</v>
      </c>
      <c r="L127" s="380">
        <f t="shared" ref="L127:L133" si="52">SUM(I127-J127+K127)</f>
        <v>33722401</v>
      </c>
      <c r="M127" s="383">
        <f t="shared" ref="M127" si="53">SUM(M129)</f>
        <v>33636869.020000003</v>
      </c>
      <c r="N127" s="381">
        <f>SUM(N129)</f>
        <v>0</v>
      </c>
      <c r="O127" s="393">
        <f t="shared" ref="O127:Q127" si="54">SUM(O129)</f>
        <v>0</v>
      </c>
      <c r="P127" s="393">
        <f t="shared" si="54"/>
        <v>0</v>
      </c>
      <c r="Q127" s="365">
        <f t="shared" si="54"/>
        <v>0</v>
      </c>
      <c r="R127" s="318"/>
      <c r="S127" s="167"/>
    </row>
    <row r="128" spans="1:19" s="174" customFormat="1" ht="22.5" customHeight="1" x14ac:dyDescent="0.2">
      <c r="A128" s="9"/>
      <c r="B128" s="20"/>
      <c r="C128" s="104"/>
      <c r="D128" s="85" t="s">
        <v>8</v>
      </c>
      <c r="E128" s="105"/>
      <c r="F128" s="105"/>
      <c r="G128" s="329"/>
      <c r="H128" s="376"/>
      <c r="I128" s="244"/>
      <c r="J128" s="205"/>
      <c r="K128" s="205"/>
      <c r="L128" s="205"/>
      <c r="M128" s="245"/>
      <c r="N128" s="360"/>
      <c r="O128" s="394"/>
      <c r="P128" s="394"/>
      <c r="Q128" s="370"/>
      <c r="R128" s="329"/>
      <c r="S128" s="167"/>
    </row>
    <row r="129" spans="1:19" s="174" customFormat="1" ht="22.5" customHeight="1" x14ac:dyDescent="0.2">
      <c r="A129" s="9"/>
      <c r="B129" s="20"/>
      <c r="C129" s="104"/>
      <c r="D129" s="85" t="s">
        <v>11</v>
      </c>
      <c r="E129" s="105">
        <f>SUM(I129,N129)</f>
        <v>21000000</v>
      </c>
      <c r="F129" s="105"/>
      <c r="G129" s="329">
        <f>SUM(L129,Q129)</f>
        <v>33722401</v>
      </c>
      <c r="H129" s="376">
        <f>SUM(M129,R129)</f>
        <v>33636869.020000003</v>
      </c>
      <c r="I129" s="244">
        <v>21000000</v>
      </c>
      <c r="J129" s="205">
        <f>139370+96500</f>
        <v>235870</v>
      </c>
      <c r="K129" s="205">
        <f>75300+2597990+145000+2000000+402290+1770000+98830+2760000+95061+110300+2903500</f>
        <v>12958271</v>
      </c>
      <c r="L129" s="205">
        <f t="shared" si="52"/>
        <v>33722401</v>
      </c>
      <c r="M129" s="245">
        <v>33636869.020000003</v>
      </c>
      <c r="N129" s="360"/>
      <c r="O129" s="394"/>
      <c r="P129" s="394"/>
      <c r="Q129" s="370">
        <f>SUM(N129-O129+P129)</f>
        <v>0</v>
      </c>
      <c r="R129" s="329"/>
      <c r="S129" s="167"/>
    </row>
    <row r="130" spans="1:19" s="174" customFormat="1" ht="85.5" customHeight="1" x14ac:dyDescent="0.2">
      <c r="A130" s="9"/>
      <c r="B130" s="71">
        <v>80150</v>
      </c>
      <c r="C130" s="124" t="s">
        <v>124</v>
      </c>
      <c r="D130" s="91" t="s">
        <v>7</v>
      </c>
      <c r="E130" s="117">
        <f t="shared" ref="E130:F130" si="55">SUM(E132:E133)</f>
        <v>18000000</v>
      </c>
      <c r="F130" s="117">
        <f t="shared" si="55"/>
        <v>0</v>
      </c>
      <c r="G130" s="318">
        <f>SUM(L130,Q130)</f>
        <v>25010920</v>
      </c>
      <c r="H130" s="318">
        <f>SUM(M130,R130)</f>
        <v>25010831.960000001</v>
      </c>
      <c r="I130" s="379">
        <f>SUM(I132:I133)</f>
        <v>18000000</v>
      </c>
      <c r="J130" s="380">
        <f t="shared" ref="J130:K130" si="56">SUM(J132:J133)</f>
        <v>153480</v>
      </c>
      <c r="K130" s="380">
        <f t="shared" si="56"/>
        <v>7164400</v>
      </c>
      <c r="L130" s="380">
        <f>SUM(I130-J130+K130)</f>
        <v>25010920</v>
      </c>
      <c r="M130" s="383">
        <f t="shared" ref="M130" si="57">SUM(M132)</f>
        <v>25010831.960000001</v>
      </c>
      <c r="N130" s="381">
        <f>SUM(N131)</f>
        <v>0</v>
      </c>
      <c r="O130" s="395">
        <f>SUM(O132)</f>
        <v>0</v>
      </c>
      <c r="P130" s="395">
        <f>SUM(P132)</f>
        <v>0</v>
      </c>
      <c r="Q130" s="365">
        <f>SUM(Q132)</f>
        <v>0</v>
      </c>
      <c r="R130" s="318"/>
      <c r="S130" s="167"/>
    </row>
    <row r="131" spans="1:19" s="174" customFormat="1" ht="22.5" customHeight="1" x14ac:dyDescent="0.2">
      <c r="A131" s="9"/>
      <c r="B131" s="20"/>
      <c r="C131" s="104"/>
      <c r="D131" s="85" t="s">
        <v>8</v>
      </c>
      <c r="E131" s="105"/>
      <c r="F131" s="105"/>
      <c r="G131" s="329"/>
      <c r="H131" s="376"/>
      <c r="I131" s="244"/>
      <c r="J131" s="205"/>
      <c r="K131" s="205"/>
      <c r="L131" s="205"/>
      <c r="M131" s="245"/>
      <c r="N131" s="360">
        <f>SUM(N132:N133)</f>
        <v>0</v>
      </c>
      <c r="O131" s="396"/>
      <c r="P131" s="396"/>
      <c r="Q131" s="370"/>
      <c r="R131" s="329"/>
      <c r="S131" s="167"/>
    </row>
    <row r="132" spans="1:19" s="174" customFormat="1" ht="22.5" customHeight="1" x14ac:dyDescent="0.2">
      <c r="A132" s="9"/>
      <c r="B132" s="20"/>
      <c r="C132" s="104"/>
      <c r="D132" s="85" t="s">
        <v>11</v>
      </c>
      <c r="E132" s="105">
        <f t="shared" ref="E132:E133" si="58">SUM(I132,N132)</f>
        <v>18000000</v>
      </c>
      <c r="F132" s="105"/>
      <c r="G132" s="329">
        <f>SUM(L132,Q132)</f>
        <v>25010920</v>
      </c>
      <c r="H132" s="376">
        <f>SUM(M132,R132)</f>
        <v>25010831.960000001</v>
      </c>
      <c r="I132" s="244">
        <v>18000000</v>
      </c>
      <c r="J132" s="205">
        <f>42980+37000+73500</f>
        <v>153480</v>
      </c>
      <c r="K132" s="205">
        <f>6170+1800000+610+620000+2220+2310000+2425400</f>
        <v>7164400</v>
      </c>
      <c r="L132" s="205">
        <f t="shared" si="52"/>
        <v>25010920</v>
      </c>
      <c r="M132" s="245">
        <v>25010831.960000001</v>
      </c>
      <c r="N132" s="360"/>
      <c r="O132" s="396"/>
      <c r="P132" s="396"/>
      <c r="Q132" s="370">
        <f t="shared" ref="Q132:Q133" si="59">SUM(N132-O132+P132)</f>
        <v>0</v>
      </c>
      <c r="R132" s="329"/>
      <c r="S132" s="167"/>
    </row>
    <row r="133" spans="1:19" s="174" customFormat="1" ht="22.5" hidden="1" customHeight="1" x14ac:dyDescent="0.2">
      <c r="A133" s="9"/>
      <c r="B133" s="20"/>
      <c r="C133" s="104"/>
      <c r="D133" s="85" t="s">
        <v>14</v>
      </c>
      <c r="E133" s="105">
        <f t="shared" si="58"/>
        <v>0</v>
      </c>
      <c r="F133" s="105"/>
      <c r="G133" s="329">
        <f>SUM(L133,Q133)</f>
        <v>0</v>
      </c>
      <c r="H133" s="376"/>
      <c r="I133" s="244"/>
      <c r="J133" s="205"/>
      <c r="K133" s="205"/>
      <c r="L133" s="205">
        <f t="shared" si="52"/>
        <v>0</v>
      </c>
      <c r="M133" s="245"/>
      <c r="N133" s="360"/>
      <c r="O133" s="394"/>
      <c r="P133" s="394"/>
      <c r="Q133" s="370">
        <f t="shared" si="59"/>
        <v>0</v>
      </c>
      <c r="R133" s="329"/>
      <c r="S133" s="167"/>
    </row>
    <row r="134" spans="1:19" s="174" customFormat="1" ht="22.5" customHeight="1" x14ac:dyDescent="0.2">
      <c r="A134" s="9"/>
      <c r="B134" s="71">
        <v>80151</v>
      </c>
      <c r="C134" s="114" t="s">
        <v>96</v>
      </c>
      <c r="D134" s="91" t="s">
        <v>7</v>
      </c>
      <c r="E134" s="117">
        <f>SUM(E136)</f>
        <v>800000</v>
      </c>
      <c r="F134" s="117">
        <f t="shared" ref="F134:Q134" si="60">SUM(F136)</f>
        <v>0</v>
      </c>
      <c r="G134" s="318">
        <f>SUM(G136)</f>
        <v>495100</v>
      </c>
      <c r="H134" s="318">
        <f>SUM(H136)</f>
        <v>484745.19</v>
      </c>
      <c r="I134" s="379">
        <f t="shared" si="60"/>
        <v>800000</v>
      </c>
      <c r="J134" s="380">
        <f t="shared" si="60"/>
        <v>304900</v>
      </c>
      <c r="K134" s="380">
        <f t="shared" si="60"/>
        <v>0</v>
      </c>
      <c r="L134" s="380">
        <f t="shared" si="60"/>
        <v>495100</v>
      </c>
      <c r="M134" s="383">
        <f t="shared" si="60"/>
        <v>484745.19</v>
      </c>
      <c r="N134" s="381">
        <f t="shared" si="60"/>
        <v>0</v>
      </c>
      <c r="O134" s="393">
        <f t="shared" si="60"/>
        <v>0</v>
      </c>
      <c r="P134" s="393">
        <f t="shared" si="60"/>
        <v>0</v>
      </c>
      <c r="Q134" s="365">
        <f t="shared" si="60"/>
        <v>0</v>
      </c>
      <c r="R134" s="318"/>
      <c r="S134" s="167"/>
    </row>
    <row r="135" spans="1:19" s="174" customFormat="1" ht="22.5" customHeight="1" x14ac:dyDescent="0.2">
      <c r="A135" s="9"/>
      <c r="B135" s="20"/>
      <c r="C135" s="104"/>
      <c r="D135" s="85" t="s">
        <v>8</v>
      </c>
      <c r="E135" s="105"/>
      <c r="F135" s="105"/>
      <c r="G135" s="329"/>
      <c r="H135" s="376"/>
      <c r="I135" s="244"/>
      <c r="J135" s="205"/>
      <c r="K135" s="205"/>
      <c r="L135" s="205"/>
      <c r="M135" s="245"/>
      <c r="N135" s="360"/>
      <c r="O135" s="394"/>
      <c r="P135" s="394"/>
      <c r="Q135" s="370"/>
      <c r="R135" s="329"/>
      <c r="S135" s="167"/>
    </row>
    <row r="136" spans="1:19" s="174" customFormat="1" ht="22.5" customHeight="1" x14ac:dyDescent="0.2">
      <c r="A136" s="9"/>
      <c r="B136" s="20"/>
      <c r="C136" s="104"/>
      <c r="D136" s="85" t="s">
        <v>14</v>
      </c>
      <c r="E136" s="105">
        <f>SUM(I136,N136)</f>
        <v>800000</v>
      </c>
      <c r="F136" s="105"/>
      <c r="G136" s="329">
        <f>SUM(L136,Q136)</f>
        <v>495100</v>
      </c>
      <c r="H136" s="376">
        <f>SUM(M136,R136)</f>
        <v>484745.19</v>
      </c>
      <c r="I136" s="244">
        <v>800000</v>
      </c>
      <c r="J136" s="205">
        <v>304900</v>
      </c>
      <c r="K136" s="205"/>
      <c r="L136" s="205">
        <f t="shared" ref="L136" si="61">SUM(I136-J136+K136)</f>
        <v>495100</v>
      </c>
      <c r="M136" s="245">
        <v>484745.19</v>
      </c>
      <c r="N136" s="360"/>
      <c r="O136" s="394"/>
      <c r="P136" s="394"/>
      <c r="Q136" s="370">
        <f t="shared" ref="Q136" si="62">SUM(N136-O136+P136)</f>
        <v>0</v>
      </c>
      <c r="R136" s="329"/>
      <c r="S136" s="167"/>
    </row>
    <row r="137" spans="1:19" s="174" customFormat="1" ht="113.25" customHeight="1" x14ac:dyDescent="0.2">
      <c r="A137" s="9"/>
      <c r="B137" s="71">
        <v>80152</v>
      </c>
      <c r="C137" s="124" t="s">
        <v>125</v>
      </c>
      <c r="D137" s="91" t="s">
        <v>7</v>
      </c>
      <c r="E137" s="117">
        <f>SUM(E139:E140)</f>
        <v>8000000</v>
      </c>
      <c r="F137" s="117"/>
      <c r="G137" s="318">
        <f>SUM(L137,Q137)</f>
        <v>8682030</v>
      </c>
      <c r="H137" s="318">
        <f>SUM(M137,R137)</f>
        <v>8625566.9600000009</v>
      </c>
      <c r="I137" s="379">
        <f>SUM(I139:I140)</f>
        <v>8000000</v>
      </c>
      <c r="J137" s="380">
        <f t="shared" ref="J137:M137" si="63">SUM(J139:J140)</f>
        <v>1194120</v>
      </c>
      <c r="K137" s="380">
        <f t="shared" si="63"/>
        <v>1876150</v>
      </c>
      <c r="L137" s="380">
        <f t="shared" si="63"/>
        <v>8682030</v>
      </c>
      <c r="M137" s="383">
        <f t="shared" si="63"/>
        <v>8625566.9600000009</v>
      </c>
      <c r="N137" s="381">
        <f>SUM(N139:N140)</f>
        <v>0</v>
      </c>
      <c r="O137" s="393">
        <f t="shared" ref="O137:Q137" si="64">SUM(O139:O140)</f>
        <v>0</v>
      </c>
      <c r="P137" s="393">
        <f t="shared" si="64"/>
        <v>0</v>
      </c>
      <c r="Q137" s="365">
        <f t="shared" si="64"/>
        <v>0</v>
      </c>
      <c r="R137" s="318"/>
      <c r="S137" s="167"/>
    </row>
    <row r="138" spans="1:19" s="174" customFormat="1" ht="22.5" customHeight="1" x14ac:dyDescent="0.2">
      <c r="A138" s="9"/>
      <c r="B138" s="20"/>
      <c r="C138" s="104"/>
      <c r="D138" s="85" t="s">
        <v>8</v>
      </c>
      <c r="E138" s="105"/>
      <c r="F138" s="105"/>
      <c r="G138" s="329"/>
      <c r="H138" s="376"/>
      <c r="I138" s="244"/>
      <c r="J138" s="205"/>
      <c r="K138" s="205"/>
      <c r="L138" s="205"/>
      <c r="M138" s="245"/>
      <c r="N138" s="360"/>
      <c r="O138" s="394"/>
      <c r="P138" s="394"/>
      <c r="Q138" s="370"/>
      <c r="R138" s="329"/>
      <c r="S138" s="167"/>
    </row>
    <row r="139" spans="1:19" s="174" customFormat="1" ht="22.5" hidden="1" customHeight="1" x14ac:dyDescent="0.2">
      <c r="A139" s="9"/>
      <c r="B139" s="20"/>
      <c r="C139" s="104"/>
      <c r="D139" s="85" t="s">
        <v>11</v>
      </c>
      <c r="E139" s="105">
        <f>SUM(I139,N139)</f>
        <v>0</v>
      </c>
      <c r="F139" s="105"/>
      <c r="G139" s="329">
        <f>SUM(L139,Q139)</f>
        <v>0</v>
      </c>
      <c r="H139" s="376"/>
      <c r="I139" s="244"/>
      <c r="J139" s="205"/>
      <c r="K139" s="205"/>
      <c r="L139" s="205">
        <f>SUM(I139-J139+K139)</f>
        <v>0</v>
      </c>
      <c r="M139" s="245"/>
      <c r="N139" s="360"/>
      <c r="O139" s="394"/>
      <c r="P139" s="394"/>
      <c r="Q139" s="370">
        <f t="shared" ref="Q139:Q140" si="65">SUM(N139-O139+P139)</f>
        <v>0</v>
      </c>
      <c r="R139" s="329"/>
      <c r="S139" s="167"/>
    </row>
    <row r="140" spans="1:19" s="174" customFormat="1" ht="19.5" customHeight="1" x14ac:dyDescent="0.2">
      <c r="A140" s="9"/>
      <c r="B140" s="20"/>
      <c r="C140" s="104"/>
      <c r="D140" s="85" t="s">
        <v>14</v>
      </c>
      <c r="E140" s="105">
        <f>SUM(I140,N140)</f>
        <v>8000000</v>
      </c>
      <c r="F140" s="105"/>
      <c r="G140" s="329">
        <f>SUM(L140,Q140)</f>
        <v>8682030</v>
      </c>
      <c r="H140" s="376">
        <f>SUM(M140,R140)</f>
        <v>8625566.9600000009</v>
      </c>
      <c r="I140" s="244">
        <v>8000000</v>
      </c>
      <c r="J140" s="205">
        <f>400000+660000+116120+18000</f>
        <v>1194120</v>
      </c>
      <c r="K140" s="205">
        <f>820000+74000+982150</f>
        <v>1876150</v>
      </c>
      <c r="L140" s="205">
        <f>SUM(I140-J140+K140)</f>
        <v>8682030</v>
      </c>
      <c r="M140" s="245">
        <v>8625566.9600000009</v>
      </c>
      <c r="N140" s="360"/>
      <c r="O140" s="394"/>
      <c r="P140" s="394"/>
      <c r="Q140" s="370">
        <f t="shared" si="65"/>
        <v>0</v>
      </c>
      <c r="R140" s="329"/>
      <c r="S140" s="167"/>
    </row>
    <row r="141" spans="1:19" s="174" customFormat="1" ht="30" x14ac:dyDescent="0.2">
      <c r="A141" s="9"/>
      <c r="B141" s="71">
        <v>80153</v>
      </c>
      <c r="C141" s="124" t="s">
        <v>111</v>
      </c>
      <c r="D141" s="91" t="s">
        <v>7</v>
      </c>
      <c r="E141" s="282">
        <f>SUM(E143:E144)</f>
        <v>0</v>
      </c>
      <c r="F141" s="117"/>
      <c r="G141" s="318">
        <f>SUM(G143:G144)</f>
        <v>1422911.24</v>
      </c>
      <c r="H141" s="318">
        <f>SUM(H143:H144)</f>
        <v>1396865.45</v>
      </c>
      <c r="I141" s="381">
        <f>SUM(I143:I144)</f>
        <v>0</v>
      </c>
      <c r="J141" s="395"/>
      <c r="K141" s="395"/>
      <c r="L141" s="395">
        <f>SUM(L143:L144)</f>
        <v>0</v>
      </c>
      <c r="M141" s="397"/>
      <c r="N141" s="381">
        <f>SUM(N143:N144)</f>
        <v>0</v>
      </c>
      <c r="O141" s="380">
        <f t="shared" ref="O141:R141" si="66">SUM(O143:O144)</f>
        <v>37146.050000000003</v>
      </c>
      <c r="P141" s="380">
        <f t="shared" si="66"/>
        <v>1460057.2899999998</v>
      </c>
      <c r="Q141" s="318">
        <f t="shared" si="66"/>
        <v>1422911.24</v>
      </c>
      <c r="R141" s="318">
        <f t="shared" si="66"/>
        <v>1396865.45</v>
      </c>
      <c r="S141" s="167"/>
    </row>
    <row r="142" spans="1:19" s="174" customFormat="1" ht="22.5" customHeight="1" x14ac:dyDescent="0.2">
      <c r="A142" s="9"/>
      <c r="B142" s="20"/>
      <c r="C142" s="104"/>
      <c r="D142" s="85" t="s">
        <v>8</v>
      </c>
      <c r="E142" s="283"/>
      <c r="F142" s="105"/>
      <c r="G142" s="329"/>
      <c r="H142" s="376"/>
      <c r="I142" s="360"/>
      <c r="J142" s="396"/>
      <c r="K142" s="396"/>
      <c r="L142" s="396"/>
      <c r="M142" s="398"/>
      <c r="N142" s="360"/>
      <c r="O142" s="205"/>
      <c r="P142" s="205"/>
      <c r="Q142" s="329"/>
      <c r="R142" s="329"/>
      <c r="S142" s="167"/>
    </row>
    <row r="143" spans="1:19" s="174" customFormat="1" ht="22.5" customHeight="1" x14ac:dyDescent="0.2">
      <c r="A143" s="9"/>
      <c r="B143" s="20"/>
      <c r="C143" s="104"/>
      <c r="D143" s="85" t="s">
        <v>11</v>
      </c>
      <c r="E143" s="283">
        <f t="shared" ref="E143" si="67">SUM(I143,N143)</f>
        <v>0</v>
      </c>
      <c r="F143" s="105"/>
      <c r="G143" s="329">
        <f>SUM(L143,Q143)</f>
        <v>1343991.73</v>
      </c>
      <c r="H143" s="376">
        <f>SUM(M143,R143)</f>
        <v>1318191.04</v>
      </c>
      <c r="I143" s="360"/>
      <c r="J143" s="396"/>
      <c r="K143" s="396"/>
      <c r="L143" s="396">
        <f t="shared" ref="L143:L144" si="68">SUM(I143-J143+K143)</f>
        <v>0</v>
      </c>
      <c r="M143" s="398"/>
      <c r="N143" s="360"/>
      <c r="O143" s="205">
        <f>1266.72+29447.66</f>
        <v>30714.38</v>
      </c>
      <c r="P143" s="205">
        <f>1353172.19+21533.92</f>
        <v>1374706.1099999999</v>
      </c>
      <c r="Q143" s="329">
        <f t="shared" ref="Q143:Q144" si="69">SUM(N143-O143+P143)</f>
        <v>1343991.73</v>
      </c>
      <c r="R143" s="329">
        <v>1318191.04</v>
      </c>
      <c r="S143" s="167"/>
    </row>
    <row r="144" spans="1:19" s="174" customFormat="1" ht="22.5" customHeight="1" x14ac:dyDescent="0.2">
      <c r="A144" s="9"/>
      <c r="B144" s="20"/>
      <c r="C144" s="104"/>
      <c r="D144" s="85" t="s">
        <v>14</v>
      </c>
      <c r="E144" s="105"/>
      <c r="F144" s="105"/>
      <c r="G144" s="329">
        <f>SUM(L144,Q144)</f>
        <v>78919.509999999995</v>
      </c>
      <c r="H144" s="376">
        <f>SUM(M144,R144)</f>
        <v>78674.41</v>
      </c>
      <c r="I144" s="360"/>
      <c r="J144" s="396"/>
      <c r="K144" s="396"/>
      <c r="L144" s="396">
        <f t="shared" si="68"/>
        <v>0</v>
      </c>
      <c r="M144" s="398"/>
      <c r="N144" s="360"/>
      <c r="O144" s="205">
        <f>4682.73+1748.94</f>
        <v>6431.67</v>
      </c>
      <c r="P144" s="205">
        <f>74458.11+10893.07</f>
        <v>85351.18</v>
      </c>
      <c r="Q144" s="329">
        <f t="shared" si="69"/>
        <v>78919.509999999995</v>
      </c>
      <c r="R144" s="329">
        <v>78674.41</v>
      </c>
      <c r="S144" s="167"/>
    </row>
    <row r="145" spans="1:19" s="174" customFormat="1" ht="19.5" customHeight="1" x14ac:dyDescent="0.2">
      <c r="A145" s="9"/>
      <c r="B145" s="71">
        <v>80195</v>
      </c>
      <c r="C145" s="114" t="s">
        <v>13</v>
      </c>
      <c r="D145" s="91" t="s">
        <v>7</v>
      </c>
      <c r="E145" s="117"/>
      <c r="F145" s="117"/>
      <c r="G145" s="318">
        <f>SUM(G147:G148)</f>
        <v>6654381.1499999994</v>
      </c>
      <c r="H145" s="318">
        <f>SUM(H147:H148)</f>
        <v>6633050.0499999998</v>
      </c>
      <c r="I145" s="381"/>
      <c r="J145" s="395"/>
      <c r="K145" s="395"/>
      <c r="L145" s="395"/>
      <c r="M145" s="397"/>
      <c r="N145" s="381">
        <f>SUM(N147:N148)</f>
        <v>0</v>
      </c>
      <c r="O145" s="380">
        <f t="shared" ref="O145:R145" si="70">SUM(O147:O148)</f>
        <v>10802810</v>
      </c>
      <c r="P145" s="380">
        <f t="shared" si="70"/>
        <v>17457191.149999999</v>
      </c>
      <c r="Q145" s="318">
        <f t="shared" si="70"/>
        <v>6654381.1499999994</v>
      </c>
      <c r="R145" s="318">
        <f t="shared" si="70"/>
        <v>6633050.0499999998</v>
      </c>
      <c r="S145" s="167"/>
    </row>
    <row r="146" spans="1:19" s="174" customFormat="1" ht="22.5" customHeight="1" x14ac:dyDescent="0.2">
      <c r="A146" s="9"/>
      <c r="B146" s="20"/>
      <c r="C146" s="104"/>
      <c r="D146" s="85" t="s">
        <v>8</v>
      </c>
      <c r="E146" s="105"/>
      <c r="F146" s="105"/>
      <c r="G146" s="329"/>
      <c r="H146" s="376"/>
      <c r="I146" s="244"/>
      <c r="J146" s="205"/>
      <c r="K146" s="205"/>
      <c r="L146" s="205"/>
      <c r="M146" s="245"/>
      <c r="N146" s="244"/>
      <c r="O146" s="205"/>
      <c r="P146" s="205"/>
      <c r="Q146" s="329"/>
      <c r="R146" s="329"/>
      <c r="S146" s="167"/>
    </row>
    <row r="147" spans="1:19" s="174" customFormat="1" ht="22.5" customHeight="1" x14ac:dyDescent="0.2">
      <c r="A147" s="9"/>
      <c r="B147" s="20"/>
      <c r="C147" s="104"/>
      <c r="D147" s="85" t="s">
        <v>11</v>
      </c>
      <c r="E147" s="105"/>
      <c r="F147" s="105"/>
      <c r="G147" s="329">
        <f>SUM(L147,Q147)</f>
        <v>5012320.5999999996</v>
      </c>
      <c r="H147" s="376">
        <f>SUM(M147,R147)</f>
        <v>4998072.71</v>
      </c>
      <c r="I147" s="244"/>
      <c r="J147" s="205"/>
      <c r="K147" s="205"/>
      <c r="L147" s="205"/>
      <c r="M147" s="245"/>
      <c r="N147" s="244"/>
      <c r="O147" s="205">
        <f>2087680+169127+5130000</f>
        <v>7386807</v>
      </c>
      <c r="P147" s="205">
        <f>7100000+5299127.6</f>
        <v>12399127.6</v>
      </c>
      <c r="Q147" s="329">
        <f>SUM(N147-O147+P147)</f>
        <v>5012320.5999999996</v>
      </c>
      <c r="R147" s="329">
        <v>4998072.71</v>
      </c>
      <c r="S147" s="167"/>
    </row>
    <row r="148" spans="1:19" s="174" customFormat="1" ht="22.5" customHeight="1" thickBot="1" x14ac:dyDescent="0.25">
      <c r="A148" s="9"/>
      <c r="B148" s="20"/>
      <c r="C148" s="104"/>
      <c r="D148" s="85" t="s">
        <v>14</v>
      </c>
      <c r="E148" s="105"/>
      <c r="F148" s="105"/>
      <c r="G148" s="329">
        <f>SUM(L148,Q148)</f>
        <v>1642060.5499999998</v>
      </c>
      <c r="H148" s="376">
        <f>SUM(M148,R148)</f>
        <v>1634977.34</v>
      </c>
      <c r="I148" s="244"/>
      <c r="J148" s="205"/>
      <c r="K148" s="205"/>
      <c r="L148" s="205"/>
      <c r="M148" s="245"/>
      <c r="N148" s="244"/>
      <c r="O148" s="205">
        <f>2057940+1358063</f>
        <v>3416003</v>
      </c>
      <c r="P148" s="205">
        <f>3700000+1358063.55</f>
        <v>5058063.55</v>
      </c>
      <c r="Q148" s="329">
        <f t="shared" ref="Q148" si="71">SUM(N148-O148+P148)</f>
        <v>1642060.5499999998</v>
      </c>
      <c r="R148" s="329">
        <v>1634977.34</v>
      </c>
      <c r="S148" s="167"/>
    </row>
    <row r="149" spans="1:19" ht="17.25" customHeight="1" x14ac:dyDescent="0.2">
      <c r="A149" s="94">
        <v>851</v>
      </c>
      <c r="B149" s="127"/>
      <c r="C149" s="128" t="s">
        <v>0</v>
      </c>
      <c r="D149" s="129" t="s">
        <v>7</v>
      </c>
      <c r="E149" s="208">
        <f>SUM(E151:E152)</f>
        <v>21329500</v>
      </c>
      <c r="F149" s="208">
        <v>0</v>
      </c>
      <c r="G149" s="345">
        <f>SUM(G151:G152)</f>
        <v>28930363.399999999</v>
      </c>
      <c r="H149" s="345">
        <f>SUM(H151:H152)</f>
        <v>26184670.84</v>
      </c>
      <c r="I149" s="346">
        <f t="shared" ref="I149:Q149" si="72">SUM(I151:I152)</f>
        <v>0</v>
      </c>
      <c r="J149" s="399">
        <f t="shared" si="72"/>
        <v>0</v>
      </c>
      <c r="K149" s="400">
        <f t="shared" si="72"/>
        <v>0</v>
      </c>
      <c r="L149" s="399">
        <f t="shared" si="72"/>
        <v>0</v>
      </c>
      <c r="M149" s="401"/>
      <c r="N149" s="350">
        <f t="shared" si="72"/>
        <v>21329500</v>
      </c>
      <c r="O149" s="402">
        <f t="shared" si="72"/>
        <v>1382982</v>
      </c>
      <c r="P149" s="402">
        <f t="shared" si="72"/>
        <v>8983845.4000000004</v>
      </c>
      <c r="Q149" s="345">
        <f t="shared" si="72"/>
        <v>28930363.399999999</v>
      </c>
      <c r="R149" s="345">
        <f t="shared" ref="R149" si="73">SUM(R151:R152)</f>
        <v>26184670.84</v>
      </c>
    </row>
    <row r="150" spans="1:19" ht="14.25" customHeight="1" x14ac:dyDescent="0.2">
      <c r="A150" s="106"/>
      <c r="B150" s="20"/>
      <c r="C150" s="104"/>
      <c r="D150" s="98" t="s">
        <v>8</v>
      </c>
      <c r="E150" s="18"/>
      <c r="F150" s="18"/>
      <c r="G150" s="329"/>
      <c r="H150" s="323"/>
      <c r="I150" s="360"/>
      <c r="J150" s="370"/>
      <c r="K150" s="369"/>
      <c r="L150" s="312"/>
      <c r="M150" s="313"/>
      <c r="N150" s="244"/>
      <c r="O150" s="329"/>
      <c r="P150" s="329"/>
      <c r="Q150" s="329"/>
      <c r="R150" s="329"/>
    </row>
    <row r="151" spans="1:19" ht="20.25" customHeight="1" x14ac:dyDescent="0.2">
      <c r="A151" s="9"/>
      <c r="B151" s="9"/>
      <c r="C151" s="104"/>
      <c r="D151" s="85" t="s">
        <v>11</v>
      </c>
      <c r="E151" s="22">
        <f>SUM(E155,E158,E161,E170,E185)</f>
        <v>21329500</v>
      </c>
      <c r="F151" s="22">
        <v>0</v>
      </c>
      <c r="G151" s="329">
        <f>SUM(G155,G158,G161,G170,G185)</f>
        <v>28929917</v>
      </c>
      <c r="H151" s="329">
        <f>SUM(H155,H158,H161,H170,H185)</f>
        <v>26184224.440000001</v>
      </c>
      <c r="I151" s="331">
        <f t="shared" ref="I151:Q151" si="74">SUM(I155,I158,I161,I170,I185)</f>
        <v>0</v>
      </c>
      <c r="J151" s="314">
        <f t="shared" si="74"/>
        <v>0</v>
      </c>
      <c r="K151" s="403">
        <f t="shared" si="74"/>
        <v>0</v>
      </c>
      <c r="L151" s="312">
        <f t="shared" si="74"/>
        <v>0</v>
      </c>
      <c r="M151" s="315"/>
      <c r="N151" s="333">
        <f t="shared" si="74"/>
        <v>21329500</v>
      </c>
      <c r="O151" s="361">
        <f t="shared" si="74"/>
        <v>1382982</v>
      </c>
      <c r="P151" s="361">
        <f t="shared" si="74"/>
        <v>8983399</v>
      </c>
      <c r="Q151" s="329">
        <f t="shared" si="74"/>
        <v>28929917</v>
      </c>
      <c r="R151" s="329">
        <f t="shared" ref="R151" si="75">SUM(R155,R158,R161,R170,R185)</f>
        <v>26184224.440000001</v>
      </c>
    </row>
    <row r="152" spans="1:19" ht="18" customHeight="1" x14ac:dyDescent="0.2">
      <c r="A152" s="11"/>
      <c r="B152" s="11"/>
      <c r="C152" s="119"/>
      <c r="D152" s="123" t="s">
        <v>14</v>
      </c>
      <c r="E152" s="286">
        <f>SUM(E182)</f>
        <v>0</v>
      </c>
      <c r="F152" s="25">
        <v>0</v>
      </c>
      <c r="G152" s="351">
        <f t="shared" ref="G152:H152" si="76">SUM(G182)</f>
        <v>446.4</v>
      </c>
      <c r="H152" s="351">
        <f t="shared" si="76"/>
        <v>446.4</v>
      </c>
      <c r="I152" s="287">
        <f t="shared" ref="I152:Q152" si="77">SUM(I182)</f>
        <v>0</v>
      </c>
      <c r="J152" s="404">
        <f t="shared" si="77"/>
        <v>0</v>
      </c>
      <c r="K152" s="405">
        <f t="shared" si="77"/>
        <v>0</v>
      </c>
      <c r="L152" s="353">
        <f t="shared" si="77"/>
        <v>0</v>
      </c>
      <c r="M152" s="406"/>
      <c r="N152" s="287">
        <f t="shared" si="77"/>
        <v>0</v>
      </c>
      <c r="O152" s="155">
        <f t="shared" si="77"/>
        <v>0</v>
      </c>
      <c r="P152" s="155">
        <f t="shared" si="77"/>
        <v>446.4</v>
      </c>
      <c r="Q152" s="351">
        <f t="shared" si="77"/>
        <v>446.4</v>
      </c>
      <c r="R152" s="351">
        <f t="shared" ref="R152" si="78">SUM(R182)</f>
        <v>446.4</v>
      </c>
    </row>
    <row r="153" spans="1:19" ht="18" hidden="1" customHeight="1" x14ac:dyDescent="0.2">
      <c r="A153" s="291"/>
      <c r="B153" s="291">
        <v>85141</v>
      </c>
      <c r="C153" s="292" t="s">
        <v>38</v>
      </c>
      <c r="D153" s="293" t="s">
        <v>7</v>
      </c>
      <c r="E153" s="294">
        <f>SUM(E155)</f>
        <v>0</v>
      </c>
      <c r="F153" s="294">
        <v>0</v>
      </c>
      <c r="G153" s="407">
        <f>SUM(G155)</f>
        <v>0</v>
      </c>
      <c r="H153" s="407">
        <f>SUM(H155)</f>
        <v>0</v>
      </c>
      <c r="I153" s="408">
        <f t="shared" ref="I153:L153" si="79">SUM(I155)</f>
        <v>0</v>
      </c>
      <c r="J153" s="409">
        <f t="shared" si="79"/>
        <v>0</v>
      </c>
      <c r="K153" s="409">
        <f t="shared" si="79"/>
        <v>0</v>
      </c>
      <c r="L153" s="410">
        <f t="shared" si="79"/>
        <v>0</v>
      </c>
      <c r="M153" s="411"/>
      <c r="N153" s="412">
        <f>SUM(N155)</f>
        <v>0</v>
      </c>
      <c r="O153" s="413">
        <f t="shared" ref="O153:P153" si="80">SUM(O155)</f>
        <v>0</v>
      </c>
      <c r="P153" s="413">
        <f t="shared" si="80"/>
        <v>0</v>
      </c>
      <c r="Q153" s="407">
        <f t="shared" ref="Q153" si="81">SUM(Q155)</f>
        <v>0</v>
      </c>
      <c r="R153" s="407">
        <f t="shared" ref="R153" si="82">SUM(R155)</f>
        <v>0</v>
      </c>
    </row>
    <row r="154" spans="1:19" ht="18" hidden="1" customHeight="1" x14ac:dyDescent="0.2">
      <c r="A154" s="291"/>
      <c r="B154" s="291"/>
      <c r="C154" s="292"/>
      <c r="D154" s="295" t="s">
        <v>8</v>
      </c>
      <c r="E154" s="293"/>
      <c r="F154" s="293"/>
      <c r="G154" s="407">
        <v>0</v>
      </c>
      <c r="H154" s="407">
        <v>1</v>
      </c>
      <c r="I154" s="414"/>
      <c r="J154" s="415"/>
      <c r="K154" s="415"/>
      <c r="L154" s="410">
        <v>0</v>
      </c>
      <c r="M154" s="411"/>
      <c r="N154" s="416"/>
      <c r="O154" s="413"/>
      <c r="P154" s="413"/>
      <c r="Q154" s="407">
        <v>0</v>
      </c>
      <c r="R154" s="407">
        <v>1</v>
      </c>
    </row>
    <row r="155" spans="1:19" ht="19.5" hidden="1" customHeight="1" x14ac:dyDescent="0.2">
      <c r="A155" s="291"/>
      <c r="B155" s="291"/>
      <c r="C155" s="292"/>
      <c r="D155" s="296" t="s">
        <v>11</v>
      </c>
      <c r="E155" s="293">
        <f>SUM(I155,N155)</f>
        <v>0</v>
      </c>
      <c r="F155" s="293"/>
      <c r="G155" s="407">
        <f>SUM(L155,Q155)</f>
        <v>0</v>
      </c>
      <c r="H155" s="407">
        <f>SUM(M155,R155)</f>
        <v>0</v>
      </c>
      <c r="I155" s="414"/>
      <c r="J155" s="415"/>
      <c r="K155" s="415"/>
      <c r="L155" s="410">
        <v>0</v>
      </c>
      <c r="M155" s="411"/>
      <c r="N155" s="416"/>
      <c r="O155" s="413"/>
      <c r="P155" s="413"/>
      <c r="Q155" s="407">
        <f>SUM(N155-O155+P155)</f>
        <v>0</v>
      </c>
      <c r="R155" s="407">
        <f>SUM(O155-P155+Q155)</f>
        <v>0</v>
      </c>
    </row>
    <row r="156" spans="1:19" ht="19.5" hidden="1" customHeight="1" x14ac:dyDescent="0.2">
      <c r="A156" s="291"/>
      <c r="B156" s="291">
        <v>85149</v>
      </c>
      <c r="C156" s="292" t="s">
        <v>39</v>
      </c>
      <c r="D156" s="293" t="s">
        <v>7</v>
      </c>
      <c r="E156" s="297">
        <f>SUM(E158)</f>
        <v>0</v>
      </c>
      <c r="F156" s="297">
        <v>0</v>
      </c>
      <c r="G156" s="407">
        <f>SUM(G158)</f>
        <v>0</v>
      </c>
      <c r="H156" s="407">
        <f>SUM(H158)</f>
        <v>0</v>
      </c>
      <c r="I156" s="408">
        <f t="shared" ref="I156:Q156" si="83">SUM(I158)</f>
        <v>0</v>
      </c>
      <c r="J156" s="417">
        <f t="shared" si="83"/>
        <v>0</v>
      </c>
      <c r="K156" s="417">
        <f t="shared" si="83"/>
        <v>0</v>
      </c>
      <c r="L156" s="410">
        <f t="shared" si="83"/>
        <v>0</v>
      </c>
      <c r="M156" s="418"/>
      <c r="N156" s="412">
        <f t="shared" si="83"/>
        <v>0</v>
      </c>
      <c r="O156" s="419">
        <f t="shared" si="83"/>
        <v>0</v>
      </c>
      <c r="P156" s="419">
        <f t="shared" si="83"/>
        <v>0</v>
      </c>
      <c r="Q156" s="407">
        <f t="shared" si="83"/>
        <v>0</v>
      </c>
      <c r="R156" s="407">
        <f t="shared" ref="R156" si="84">SUM(R158)</f>
        <v>0</v>
      </c>
    </row>
    <row r="157" spans="1:19" ht="16.5" hidden="1" customHeight="1" x14ac:dyDescent="0.2">
      <c r="A157" s="291"/>
      <c r="B157" s="298"/>
      <c r="C157" s="292"/>
      <c r="D157" s="295" t="s">
        <v>8</v>
      </c>
      <c r="E157" s="293"/>
      <c r="F157" s="293"/>
      <c r="G157" s="407">
        <v>0</v>
      </c>
      <c r="H157" s="407">
        <v>1</v>
      </c>
      <c r="I157" s="414"/>
      <c r="J157" s="415"/>
      <c r="K157" s="415"/>
      <c r="L157" s="410">
        <v>0</v>
      </c>
      <c r="M157" s="411"/>
      <c r="N157" s="416"/>
      <c r="O157" s="413"/>
      <c r="P157" s="413"/>
      <c r="Q157" s="407">
        <v>0</v>
      </c>
      <c r="R157" s="407">
        <v>1</v>
      </c>
    </row>
    <row r="158" spans="1:19" ht="18.75" hidden="1" customHeight="1" x14ac:dyDescent="0.2">
      <c r="A158" s="291"/>
      <c r="B158" s="291"/>
      <c r="C158" s="292"/>
      <c r="D158" s="296" t="s">
        <v>11</v>
      </c>
      <c r="E158" s="293">
        <f>SUM(I158,N158)</f>
        <v>0</v>
      </c>
      <c r="F158" s="293"/>
      <c r="G158" s="407">
        <f>SUM(L158,Q158)</f>
        <v>0</v>
      </c>
      <c r="H158" s="407">
        <f>SUM(M158,R158)</f>
        <v>0</v>
      </c>
      <c r="I158" s="414"/>
      <c r="J158" s="415"/>
      <c r="K158" s="415"/>
      <c r="L158" s="410">
        <f>SUM(I158-J158+K158)</f>
        <v>0</v>
      </c>
      <c r="M158" s="411"/>
      <c r="N158" s="416"/>
      <c r="O158" s="407"/>
      <c r="P158" s="407"/>
      <c r="Q158" s="407">
        <f>SUM(N158-O158+P158)</f>
        <v>0</v>
      </c>
      <c r="R158" s="407">
        <f>SUM(O158-P158+Q158)</f>
        <v>0</v>
      </c>
    </row>
    <row r="159" spans="1:19" ht="19.5" customHeight="1" x14ac:dyDescent="0.2">
      <c r="A159" s="71"/>
      <c r="B159" s="71">
        <v>85153</v>
      </c>
      <c r="C159" s="114" t="s">
        <v>40</v>
      </c>
      <c r="D159" s="117" t="s">
        <v>7</v>
      </c>
      <c r="E159" s="207">
        <f>SUM(E161)</f>
        <v>200000</v>
      </c>
      <c r="F159" s="207">
        <v>0</v>
      </c>
      <c r="G159" s="318">
        <f>SUM(G161)</f>
        <v>600000</v>
      </c>
      <c r="H159" s="318">
        <f>SUM(H161)</f>
        <v>300000</v>
      </c>
      <c r="I159" s="334">
        <f t="shared" ref="I159:Q159" si="85">SUM(I161)</f>
        <v>0</v>
      </c>
      <c r="J159" s="420">
        <f t="shared" si="85"/>
        <v>0</v>
      </c>
      <c r="K159" s="420">
        <f t="shared" si="85"/>
        <v>0</v>
      </c>
      <c r="L159" s="336">
        <f t="shared" si="85"/>
        <v>0</v>
      </c>
      <c r="M159" s="421"/>
      <c r="N159" s="342">
        <f t="shared" si="85"/>
        <v>200000</v>
      </c>
      <c r="O159" s="318">
        <f t="shared" si="85"/>
        <v>0</v>
      </c>
      <c r="P159" s="318">
        <f t="shared" si="85"/>
        <v>400000</v>
      </c>
      <c r="Q159" s="318">
        <f t="shared" si="85"/>
        <v>600000</v>
      </c>
      <c r="R159" s="318">
        <f t="shared" ref="R159" si="86">SUM(R161)</f>
        <v>300000</v>
      </c>
    </row>
    <row r="160" spans="1:19" ht="18.75" customHeight="1" x14ac:dyDescent="0.2">
      <c r="A160" s="9"/>
      <c r="B160" s="20"/>
      <c r="C160" s="104"/>
      <c r="D160" s="98" t="s">
        <v>8</v>
      </c>
      <c r="E160" s="18"/>
      <c r="F160" s="18"/>
      <c r="G160" s="329"/>
      <c r="H160" s="367"/>
      <c r="I160" s="360"/>
      <c r="J160" s="369"/>
      <c r="K160" s="369"/>
      <c r="L160" s="312"/>
      <c r="M160" s="313"/>
      <c r="N160" s="244"/>
      <c r="O160" s="329"/>
      <c r="P160" s="329"/>
      <c r="Q160" s="329"/>
      <c r="R160" s="329"/>
    </row>
    <row r="161" spans="1:18" ht="18.75" customHeight="1" x14ac:dyDescent="0.2">
      <c r="A161" s="9"/>
      <c r="B161" s="23"/>
      <c r="C161" s="119"/>
      <c r="D161" s="70" t="s">
        <v>11</v>
      </c>
      <c r="E161" s="89">
        <f>SUM(I161,N161)</f>
        <v>200000</v>
      </c>
      <c r="F161" s="89"/>
      <c r="G161" s="329">
        <f>SUM(L161,Q161)</f>
        <v>600000</v>
      </c>
      <c r="H161" s="373">
        <f>SUM(M161,R161)</f>
        <v>300000</v>
      </c>
      <c r="I161" s="387"/>
      <c r="J161" s="388"/>
      <c r="K161" s="388"/>
      <c r="L161" s="353">
        <v>0</v>
      </c>
      <c r="M161" s="422"/>
      <c r="N161" s="374">
        <v>200000</v>
      </c>
      <c r="O161" s="329"/>
      <c r="P161" s="329">
        <v>400000</v>
      </c>
      <c r="Q161" s="329">
        <f>SUM(N161-O161+P161)</f>
        <v>600000</v>
      </c>
      <c r="R161" s="329">
        <v>300000</v>
      </c>
    </row>
    <row r="162" spans="1:18" ht="13.5" hidden="1" customHeight="1" x14ac:dyDescent="0.2">
      <c r="A162" s="9"/>
      <c r="B162" s="9">
        <v>85132</v>
      </c>
      <c r="C162" s="104" t="s">
        <v>41</v>
      </c>
      <c r="D162" s="18" t="s">
        <v>7</v>
      </c>
      <c r="E162" s="18"/>
      <c r="F162" s="18"/>
      <c r="G162" s="329">
        <v>0</v>
      </c>
      <c r="H162" s="367"/>
      <c r="I162" s="360"/>
      <c r="J162" s="369"/>
      <c r="K162" s="369"/>
      <c r="L162" s="353">
        <v>0</v>
      </c>
      <c r="M162" s="313"/>
      <c r="N162" s="244"/>
      <c r="O162" s="323"/>
      <c r="P162" s="323"/>
      <c r="Q162" s="329">
        <v>0</v>
      </c>
      <c r="R162" s="329"/>
    </row>
    <row r="163" spans="1:18" hidden="1" x14ac:dyDescent="0.2">
      <c r="A163" s="9"/>
      <c r="B163" s="20"/>
      <c r="C163" s="104"/>
      <c r="D163" s="130" t="s">
        <v>8</v>
      </c>
      <c r="E163" s="18"/>
      <c r="F163" s="18"/>
      <c r="G163" s="329">
        <v>0</v>
      </c>
      <c r="H163" s="367"/>
      <c r="I163" s="360"/>
      <c r="J163" s="369"/>
      <c r="K163" s="369"/>
      <c r="L163" s="353">
        <v>0</v>
      </c>
      <c r="M163" s="313"/>
      <c r="N163" s="244"/>
      <c r="O163" s="323"/>
      <c r="P163" s="323"/>
      <c r="Q163" s="329">
        <v>0</v>
      </c>
      <c r="R163" s="329"/>
    </row>
    <row r="164" spans="1:18" hidden="1" x14ac:dyDescent="0.2">
      <c r="A164" s="9"/>
      <c r="B164" s="20"/>
      <c r="C164" s="104"/>
      <c r="D164" s="116" t="s">
        <v>11</v>
      </c>
      <c r="E164" s="18"/>
      <c r="F164" s="18"/>
      <c r="G164" s="329">
        <v>0</v>
      </c>
      <c r="H164" s="367"/>
      <c r="I164" s="360"/>
      <c r="J164" s="369"/>
      <c r="K164" s="369"/>
      <c r="L164" s="353">
        <v>0</v>
      </c>
      <c r="M164" s="313"/>
      <c r="N164" s="244"/>
      <c r="O164" s="323"/>
      <c r="P164" s="323"/>
      <c r="Q164" s="329">
        <v>0</v>
      </c>
      <c r="R164" s="329"/>
    </row>
    <row r="165" spans="1:18" hidden="1" x14ac:dyDescent="0.2">
      <c r="A165" s="9"/>
      <c r="B165" s="71">
        <v>85153</v>
      </c>
      <c r="C165" s="114" t="s">
        <v>40</v>
      </c>
      <c r="D165" s="117" t="s">
        <v>7</v>
      </c>
      <c r="E165" s="18"/>
      <c r="F165" s="18"/>
      <c r="G165" s="329">
        <v>0</v>
      </c>
      <c r="H165" s="367"/>
      <c r="I165" s="360"/>
      <c r="J165" s="369"/>
      <c r="K165" s="369"/>
      <c r="L165" s="353">
        <v>0</v>
      </c>
      <c r="M165" s="313"/>
      <c r="N165" s="244"/>
      <c r="O165" s="323"/>
      <c r="P165" s="323"/>
      <c r="Q165" s="329">
        <v>0</v>
      </c>
      <c r="R165" s="329"/>
    </row>
    <row r="166" spans="1:18" hidden="1" x14ac:dyDescent="0.2">
      <c r="A166" s="9"/>
      <c r="B166" s="20"/>
      <c r="C166" s="104"/>
      <c r="D166" s="98" t="s">
        <v>8</v>
      </c>
      <c r="E166" s="18"/>
      <c r="F166" s="18"/>
      <c r="G166" s="329">
        <v>0</v>
      </c>
      <c r="H166" s="367"/>
      <c r="I166" s="360"/>
      <c r="J166" s="369"/>
      <c r="K166" s="369"/>
      <c r="L166" s="353">
        <v>0</v>
      </c>
      <c r="M166" s="313"/>
      <c r="N166" s="244"/>
      <c r="O166" s="323"/>
      <c r="P166" s="323"/>
      <c r="Q166" s="329">
        <v>0</v>
      </c>
      <c r="R166" s="329"/>
    </row>
    <row r="167" spans="1:18" ht="5.25" hidden="1" customHeight="1" x14ac:dyDescent="0.2">
      <c r="A167" s="9"/>
      <c r="B167" s="20"/>
      <c r="C167" s="104"/>
      <c r="D167" s="85" t="s">
        <v>11</v>
      </c>
      <c r="E167" s="18"/>
      <c r="F167" s="18"/>
      <c r="G167" s="329">
        <v>0</v>
      </c>
      <c r="H167" s="367"/>
      <c r="I167" s="360"/>
      <c r="J167" s="369"/>
      <c r="K167" s="369"/>
      <c r="L167" s="353">
        <v>0</v>
      </c>
      <c r="M167" s="313"/>
      <c r="N167" s="244"/>
      <c r="O167" s="323"/>
      <c r="P167" s="323"/>
      <c r="Q167" s="329">
        <v>0</v>
      </c>
      <c r="R167" s="329"/>
    </row>
    <row r="168" spans="1:18" ht="18" customHeight="1" x14ac:dyDescent="0.2">
      <c r="A168" s="9"/>
      <c r="B168" s="71">
        <v>85154</v>
      </c>
      <c r="C168" s="114" t="s">
        <v>42</v>
      </c>
      <c r="D168" s="8" t="s">
        <v>7</v>
      </c>
      <c r="E168" s="207">
        <f>SUM(E170)</f>
        <v>16042000</v>
      </c>
      <c r="F168" s="207">
        <v>0</v>
      </c>
      <c r="G168" s="318">
        <f>SUM(G170)</f>
        <v>20001617</v>
      </c>
      <c r="H168" s="318">
        <f>SUM(H170)</f>
        <v>17680470.280000001</v>
      </c>
      <c r="I168" s="334">
        <f t="shared" ref="I168:R168" si="87">SUM(I170)</f>
        <v>0</v>
      </c>
      <c r="J168" s="420">
        <f t="shared" si="87"/>
        <v>0</v>
      </c>
      <c r="K168" s="420">
        <f t="shared" si="87"/>
        <v>0</v>
      </c>
      <c r="L168" s="312">
        <f t="shared" si="87"/>
        <v>0</v>
      </c>
      <c r="M168" s="315"/>
      <c r="N168" s="342">
        <f t="shared" si="87"/>
        <v>16042000</v>
      </c>
      <c r="O168" s="371">
        <f t="shared" si="87"/>
        <v>613982</v>
      </c>
      <c r="P168" s="371">
        <f t="shared" si="87"/>
        <v>4573599</v>
      </c>
      <c r="Q168" s="318">
        <f t="shared" si="87"/>
        <v>20001617</v>
      </c>
      <c r="R168" s="318">
        <f t="shared" si="87"/>
        <v>17680470.280000001</v>
      </c>
    </row>
    <row r="169" spans="1:18" ht="18.75" customHeight="1" x14ac:dyDescent="0.2">
      <c r="A169" s="9"/>
      <c r="B169" s="20"/>
      <c r="C169" s="104"/>
      <c r="D169" s="130" t="s">
        <v>8</v>
      </c>
      <c r="E169" s="18"/>
      <c r="F169" s="18"/>
      <c r="G169" s="329"/>
      <c r="H169" s="367"/>
      <c r="I169" s="360"/>
      <c r="J169" s="369"/>
      <c r="K169" s="369"/>
      <c r="L169" s="312"/>
      <c r="M169" s="313"/>
      <c r="N169" s="244"/>
      <c r="O169" s="323"/>
      <c r="P169" s="323"/>
      <c r="Q169" s="329"/>
      <c r="R169" s="329"/>
    </row>
    <row r="170" spans="1:18" ht="18" customHeight="1" x14ac:dyDescent="0.2">
      <c r="A170" s="9"/>
      <c r="B170" s="23"/>
      <c r="C170" s="119"/>
      <c r="D170" s="123" t="s">
        <v>11</v>
      </c>
      <c r="E170" s="89">
        <f>SUM(I170,N170)</f>
        <v>16042000</v>
      </c>
      <c r="F170" s="89"/>
      <c r="G170" s="329">
        <f>SUM(L170,Q170)</f>
        <v>20001617</v>
      </c>
      <c r="H170" s="373">
        <f>SUM(M170,R170)</f>
        <v>17680470.280000001</v>
      </c>
      <c r="I170" s="387"/>
      <c r="J170" s="388"/>
      <c r="K170" s="388"/>
      <c r="L170" s="353">
        <v>0</v>
      </c>
      <c r="M170" s="422"/>
      <c r="N170" s="374">
        <v>16042000</v>
      </c>
      <c r="O170" s="329">
        <f>202682+57500+157500+100580+22900+10250+9600+50000+2970</f>
        <v>613982</v>
      </c>
      <c r="P170" s="329">
        <f>500000+1274129+10060+2789410</f>
        <v>4573599</v>
      </c>
      <c r="Q170" s="329">
        <f>SUM(N170-O170+P170)</f>
        <v>20001617</v>
      </c>
      <c r="R170" s="329">
        <v>17680470.280000001</v>
      </c>
    </row>
    <row r="171" spans="1:18" hidden="1" x14ac:dyDescent="0.2">
      <c r="A171" s="9"/>
      <c r="B171" s="9">
        <v>85156</v>
      </c>
      <c r="C171" s="104" t="s">
        <v>43</v>
      </c>
      <c r="D171" s="105" t="s">
        <v>7</v>
      </c>
      <c r="E171" s="18"/>
      <c r="F171" s="18"/>
      <c r="G171" s="329">
        <v>0</v>
      </c>
      <c r="H171" s="367"/>
      <c r="I171" s="360"/>
      <c r="J171" s="369"/>
      <c r="K171" s="369"/>
      <c r="L171" s="353">
        <v>0</v>
      </c>
      <c r="M171" s="313"/>
      <c r="N171" s="244"/>
      <c r="O171" s="323"/>
      <c r="P171" s="323"/>
      <c r="Q171" s="329">
        <v>0</v>
      </c>
      <c r="R171" s="329"/>
    </row>
    <row r="172" spans="1:18" hidden="1" x14ac:dyDescent="0.2">
      <c r="A172" s="9"/>
      <c r="B172" s="20"/>
      <c r="C172" s="104" t="s">
        <v>44</v>
      </c>
      <c r="D172" s="105"/>
      <c r="E172" s="18"/>
      <c r="F172" s="18"/>
      <c r="G172" s="329">
        <v>0</v>
      </c>
      <c r="H172" s="367"/>
      <c r="I172" s="360"/>
      <c r="J172" s="369"/>
      <c r="K172" s="369"/>
      <c r="L172" s="353">
        <v>0</v>
      </c>
      <c r="M172" s="313"/>
      <c r="N172" s="244"/>
      <c r="O172" s="323"/>
      <c r="P172" s="323"/>
      <c r="Q172" s="329">
        <v>0</v>
      </c>
      <c r="R172" s="329"/>
    </row>
    <row r="173" spans="1:18" hidden="1" x14ac:dyDescent="0.2">
      <c r="A173" s="9"/>
      <c r="B173" s="20"/>
      <c r="C173" s="104"/>
      <c r="D173" s="98" t="s">
        <v>8</v>
      </c>
      <c r="E173" s="18"/>
      <c r="F173" s="18"/>
      <c r="G173" s="329">
        <v>0</v>
      </c>
      <c r="H173" s="367"/>
      <c r="I173" s="360"/>
      <c r="J173" s="369"/>
      <c r="K173" s="369"/>
      <c r="L173" s="353">
        <v>0</v>
      </c>
      <c r="M173" s="313"/>
      <c r="N173" s="244"/>
      <c r="O173" s="323"/>
      <c r="P173" s="323"/>
      <c r="Q173" s="329">
        <v>0</v>
      </c>
      <c r="R173" s="329"/>
    </row>
    <row r="174" spans="1:18" hidden="1" x14ac:dyDescent="0.2">
      <c r="A174" s="9"/>
      <c r="B174" s="20"/>
      <c r="C174" s="104"/>
      <c r="D174" s="85" t="s">
        <v>11</v>
      </c>
      <c r="E174" s="18"/>
      <c r="F174" s="18"/>
      <c r="G174" s="329">
        <v>0</v>
      </c>
      <c r="H174" s="367"/>
      <c r="I174" s="360"/>
      <c r="J174" s="369"/>
      <c r="K174" s="369"/>
      <c r="L174" s="353">
        <v>0</v>
      </c>
      <c r="M174" s="313"/>
      <c r="N174" s="244"/>
      <c r="O174" s="323"/>
      <c r="P174" s="323"/>
      <c r="Q174" s="329">
        <v>0</v>
      </c>
      <c r="R174" s="329"/>
    </row>
    <row r="175" spans="1:18" hidden="1" x14ac:dyDescent="0.2">
      <c r="A175" s="9"/>
      <c r="B175" s="9"/>
      <c r="C175" s="104"/>
      <c r="D175" s="85" t="s">
        <v>14</v>
      </c>
      <c r="E175" s="18"/>
      <c r="F175" s="18"/>
      <c r="G175" s="329">
        <v>0</v>
      </c>
      <c r="H175" s="367"/>
      <c r="I175" s="360"/>
      <c r="J175" s="369"/>
      <c r="K175" s="369"/>
      <c r="L175" s="353">
        <v>0</v>
      </c>
      <c r="M175" s="313"/>
      <c r="N175" s="244"/>
      <c r="O175" s="323"/>
      <c r="P175" s="323"/>
      <c r="Q175" s="329">
        <v>0</v>
      </c>
      <c r="R175" s="329"/>
    </row>
    <row r="176" spans="1:18" hidden="1" x14ac:dyDescent="0.2">
      <c r="A176" s="9"/>
      <c r="B176" s="9">
        <v>85158</v>
      </c>
      <c r="C176" s="104" t="s">
        <v>45</v>
      </c>
      <c r="D176" s="18" t="s">
        <v>7</v>
      </c>
      <c r="E176" s="18"/>
      <c r="F176" s="18"/>
      <c r="G176" s="329">
        <v>0</v>
      </c>
      <c r="H176" s="367"/>
      <c r="I176" s="360"/>
      <c r="J176" s="369"/>
      <c r="K176" s="369"/>
      <c r="L176" s="353">
        <v>0</v>
      </c>
      <c r="M176" s="313"/>
      <c r="N176" s="244"/>
      <c r="O176" s="323"/>
      <c r="P176" s="323"/>
      <c r="Q176" s="329">
        <v>0</v>
      </c>
      <c r="R176" s="329"/>
    </row>
    <row r="177" spans="1:18" ht="12" hidden="1" customHeight="1" x14ac:dyDescent="0.2">
      <c r="A177" s="9"/>
      <c r="B177" s="20"/>
      <c r="C177" s="104"/>
      <c r="D177" s="98" t="s">
        <v>8</v>
      </c>
      <c r="E177" s="18"/>
      <c r="F177" s="18"/>
      <c r="G177" s="329">
        <v>0</v>
      </c>
      <c r="H177" s="367"/>
      <c r="I177" s="360"/>
      <c r="J177" s="369"/>
      <c r="K177" s="369"/>
      <c r="L177" s="353">
        <v>0</v>
      </c>
      <c r="M177" s="313"/>
      <c r="N177" s="244"/>
      <c r="O177" s="323"/>
      <c r="P177" s="323"/>
      <c r="Q177" s="329">
        <v>0</v>
      </c>
      <c r="R177" s="329"/>
    </row>
    <row r="178" spans="1:18" ht="12" hidden="1" customHeight="1" x14ac:dyDescent="0.2">
      <c r="A178" s="9"/>
      <c r="B178" s="20"/>
      <c r="C178" s="104"/>
      <c r="D178" s="85" t="s">
        <v>11</v>
      </c>
      <c r="E178" s="18"/>
      <c r="F178" s="18"/>
      <c r="G178" s="329">
        <v>0</v>
      </c>
      <c r="H178" s="367"/>
      <c r="I178" s="360"/>
      <c r="J178" s="369"/>
      <c r="K178" s="369"/>
      <c r="L178" s="353">
        <v>0</v>
      </c>
      <c r="M178" s="313"/>
      <c r="N178" s="244"/>
      <c r="O178" s="323"/>
      <c r="P178" s="323"/>
      <c r="Q178" s="329">
        <v>0</v>
      </c>
      <c r="R178" s="329"/>
    </row>
    <row r="179" spans="1:18" ht="13.5" hidden="1" customHeight="1" x14ac:dyDescent="0.2">
      <c r="A179" s="9"/>
      <c r="B179" s="20"/>
      <c r="C179" s="104"/>
      <c r="D179" s="85" t="s">
        <v>14</v>
      </c>
      <c r="E179" s="18"/>
      <c r="F179" s="18"/>
      <c r="G179" s="329">
        <v>0</v>
      </c>
      <c r="H179" s="367"/>
      <c r="I179" s="360"/>
      <c r="J179" s="369"/>
      <c r="K179" s="369"/>
      <c r="L179" s="353">
        <v>0</v>
      </c>
      <c r="M179" s="313"/>
      <c r="N179" s="244"/>
      <c r="O179" s="323"/>
      <c r="P179" s="323"/>
      <c r="Q179" s="329">
        <v>0</v>
      </c>
      <c r="R179" s="329"/>
    </row>
    <row r="180" spans="1:18" ht="18.75" customHeight="1" x14ac:dyDescent="0.2">
      <c r="A180" s="9"/>
      <c r="B180" s="9">
        <v>85156</v>
      </c>
      <c r="C180" s="104" t="s">
        <v>80</v>
      </c>
      <c r="D180" s="18" t="s">
        <v>7</v>
      </c>
      <c r="E180" s="285">
        <f>SUM(E182)</f>
        <v>0</v>
      </c>
      <c r="F180" s="22">
        <v>0</v>
      </c>
      <c r="G180" s="318">
        <f>SUM(G182)</f>
        <v>446.4</v>
      </c>
      <c r="H180" s="318">
        <f>SUM(H182)</f>
        <v>446.4</v>
      </c>
      <c r="I180" s="331">
        <f t="shared" ref="I180:R180" si="88">SUM(I182)</f>
        <v>0</v>
      </c>
      <c r="J180" s="314">
        <f t="shared" si="88"/>
        <v>0</v>
      </c>
      <c r="K180" s="314">
        <f t="shared" si="88"/>
        <v>0</v>
      </c>
      <c r="L180" s="312">
        <f t="shared" si="88"/>
        <v>0</v>
      </c>
      <c r="M180" s="315"/>
      <c r="N180" s="331">
        <f t="shared" si="88"/>
        <v>0</v>
      </c>
      <c r="O180" s="318">
        <f t="shared" si="88"/>
        <v>0</v>
      </c>
      <c r="P180" s="318" t="s">
        <v>116</v>
      </c>
      <c r="Q180" s="318">
        <f t="shared" si="88"/>
        <v>446.4</v>
      </c>
      <c r="R180" s="318">
        <f t="shared" si="88"/>
        <v>446.4</v>
      </c>
    </row>
    <row r="181" spans="1:18" ht="19.5" customHeight="1" x14ac:dyDescent="0.2">
      <c r="A181" s="9"/>
      <c r="B181" s="20"/>
      <c r="C181" s="104" t="s">
        <v>46</v>
      </c>
      <c r="D181" s="130" t="s">
        <v>8</v>
      </c>
      <c r="E181" s="18"/>
      <c r="F181" s="18"/>
      <c r="G181" s="329"/>
      <c r="H181" s="367"/>
      <c r="I181" s="360"/>
      <c r="J181" s="370"/>
      <c r="K181" s="370"/>
      <c r="L181" s="312"/>
      <c r="M181" s="313"/>
      <c r="N181" s="244"/>
      <c r="O181" s="329"/>
      <c r="P181" s="329"/>
      <c r="Q181" s="329"/>
      <c r="R181" s="329"/>
    </row>
    <row r="182" spans="1:18" ht="18" customHeight="1" x14ac:dyDescent="0.2">
      <c r="A182" s="9"/>
      <c r="B182" s="23"/>
      <c r="C182" s="119"/>
      <c r="D182" s="123" t="s">
        <v>14</v>
      </c>
      <c r="E182" s="284">
        <f>SUM(I182,N182)</f>
        <v>0</v>
      </c>
      <c r="F182" s="89"/>
      <c r="G182" s="329">
        <f>SUM(L182,Q182)</f>
        <v>446.4</v>
      </c>
      <c r="H182" s="373">
        <f>SUM(M182,R182)</f>
        <v>446.4</v>
      </c>
      <c r="I182" s="387"/>
      <c r="J182" s="389"/>
      <c r="K182" s="389"/>
      <c r="L182" s="353">
        <f>SUM(I182-J182+K182)</f>
        <v>0</v>
      </c>
      <c r="M182" s="422"/>
      <c r="N182" s="374"/>
      <c r="O182" s="329"/>
      <c r="P182" s="329">
        <v>446.4</v>
      </c>
      <c r="Q182" s="329">
        <f>SUM(N182-O182+P182)</f>
        <v>446.4</v>
      </c>
      <c r="R182" s="329">
        <v>446.4</v>
      </c>
    </row>
    <row r="183" spans="1:18" ht="20.25" customHeight="1" x14ac:dyDescent="0.2">
      <c r="A183" s="9"/>
      <c r="B183" s="20">
        <v>85195</v>
      </c>
      <c r="C183" s="104" t="s">
        <v>13</v>
      </c>
      <c r="D183" s="8" t="s">
        <v>7</v>
      </c>
      <c r="E183" s="18">
        <f>SUM(E185)</f>
        <v>5087500</v>
      </c>
      <c r="F183" s="18"/>
      <c r="G183" s="318">
        <f>SUM(G185)</f>
        <v>8328300</v>
      </c>
      <c r="H183" s="318">
        <f>SUM(H185)</f>
        <v>8203754.1600000001</v>
      </c>
      <c r="I183" s="360"/>
      <c r="J183" s="370"/>
      <c r="K183" s="370"/>
      <c r="L183" s="312"/>
      <c r="M183" s="313"/>
      <c r="N183" s="244">
        <f t="shared" ref="N183:P183" si="89">SUM(N185)</f>
        <v>5087500</v>
      </c>
      <c r="O183" s="318">
        <f t="shared" si="89"/>
        <v>769000</v>
      </c>
      <c r="P183" s="318">
        <f t="shared" si="89"/>
        <v>4009800</v>
      </c>
      <c r="Q183" s="318">
        <f>SUM(Q185)</f>
        <v>8328300</v>
      </c>
      <c r="R183" s="318">
        <f>SUM(R185)</f>
        <v>8203754.1600000001</v>
      </c>
    </row>
    <row r="184" spans="1:18" ht="22.5" customHeight="1" x14ac:dyDescent="0.2">
      <c r="A184" s="9"/>
      <c r="B184" s="20"/>
      <c r="C184" s="104"/>
      <c r="D184" s="130" t="s">
        <v>8</v>
      </c>
      <c r="E184" s="18"/>
      <c r="F184" s="18"/>
      <c r="G184" s="323"/>
      <c r="H184" s="372"/>
      <c r="I184" s="360"/>
      <c r="J184" s="370"/>
      <c r="K184" s="370"/>
      <c r="L184" s="312"/>
      <c r="M184" s="313"/>
      <c r="N184" s="244"/>
      <c r="O184" s="329"/>
      <c r="P184" s="329"/>
      <c r="Q184" s="329"/>
      <c r="R184" s="329"/>
    </row>
    <row r="185" spans="1:18" ht="22.5" customHeight="1" thickBot="1" x14ac:dyDescent="0.25">
      <c r="A185" s="9"/>
      <c r="B185" s="20"/>
      <c r="C185" s="104"/>
      <c r="D185" s="116" t="s">
        <v>11</v>
      </c>
      <c r="E185" s="18">
        <f>SUM(I185,N185)</f>
        <v>5087500</v>
      </c>
      <c r="F185" s="18"/>
      <c r="G185" s="329">
        <f>SUM(L185,Q185)</f>
        <v>8328300</v>
      </c>
      <c r="H185" s="367">
        <f>SUM(M185,R185)</f>
        <v>8203754.1600000001</v>
      </c>
      <c r="I185" s="360"/>
      <c r="J185" s="370"/>
      <c r="K185" s="370"/>
      <c r="L185" s="312"/>
      <c r="M185" s="313"/>
      <c r="N185" s="244">
        <v>5087500</v>
      </c>
      <c r="O185" s="329">
        <f>200000+569000</f>
        <v>769000</v>
      </c>
      <c r="P185" s="329">
        <f>3900+115000+162500+9000+800000+2300000+436000+40000+114900+28500</f>
        <v>4009800</v>
      </c>
      <c r="Q185" s="329">
        <f>SUM(N185-O185+P185)</f>
        <v>8328300</v>
      </c>
      <c r="R185" s="329">
        <v>8203754.1600000001</v>
      </c>
    </row>
    <row r="186" spans="1:18" ht="19.5" customHeight="1" x14ac:dyDescent="0.2">
      <c r="A186" s="94">
        <v>852</v>
      </c>
      <c r="B186" s="127"/>
      <c r="C186" s="128" t="s">
        <v>47</v>
      </c>
      <c r="D186" s="97" t="s">
        <v>7</v>
      </c>
      <c r="E186" s="204">
        <f>SUM(E188:E189)</f>
        <v>55622056</v>
      </c>
      <c r="F186" s="204">
        <v>0</v>
      </c>
      <c r="G186" s="345">
        <f>SUM(G188:G189)</f>
        <v>62346717</v>
      </c>
      <c r="H186" s="345">
        <f>SUM(H188:H189)</f>
        <v>62081142.740000002</v>
      </c>
      <c r="I186" s="346">
        <f t="shared" ref="I186:Q186" si="90">SUM(I188:I189)</f>
        <v>0</v>
      </c>
      <c r="J186" s="347">
        <f t="shared" si="90"/>
        <v>0</v>
      </c>
      <c r="K186" s="347">
        <f t="shared" si="90"/>
        <v>0</v>
      </c>
      <c r="L186" s="348">
        <f t="shared" si="90"/>
        <v>0</v>
      </c>
      <c r="M186" s="423"/>
      <c r="N186" s="350">
        <f t="shared" si="90"/>
        <v>55622056</v>
      </c>
      <c r="O186" s="424">
        <f t="shared" si="90"/>
        <v>4648841.47</v>
      </c>
      <c r="P186" s="424">
        <f t="shared" si="90"/>
        <v>11373502.470000001</v>
      </c>
      <c r="Q186" s="345">
        <f t="shared" si="90"/>
        <v>62346717</v>
      </c>
      <c r="R186" s="345">
        <f t="shared" ref="R186" si="91">SUM(R188:R189)</f>
        <v>62081142.740000002</v>
      </c>
    </row>
    <row r="187" spans="1:18" ht="15.75" customHeight="1" x14ac:dyDescent="0.2">
      <c r="A187" s="308"/>
      <c r="B187" s="19"/>
      <c r="C187" s="131"/>
      <c r="D187" s="98" t="s">
        <v>8</v>
      </c>
      <c r="E187" s="18"/>
      <c r="F187" s="18"/>
      <c r="G187" s="329"/>
      <c r="H187" s="329"/>
      <c r="I187" s="360"/>
      <c r="J187" s="369"/>
      <c r="K187" s="369"/>
      <c r="L187" s="425"/>
      <c r="M187" s="426"/>
      <c r="N187" s="244"/>
      <c r="O187" s="323"/>
      <c r="P187" s="323"/>
      <c r="Q187" s="329"/>
      <c r="R187" s="329"/>
    </row>
    <row r="188" spans="1:18" ht="18" customHeight="1" x14ac:dyDescent="0.2">
      <c r="A188" s="132"/>
      <c r="B188" s="133"/>
      <c r="C188" s="131"/>
      <c r="D188" s="85" t="s">
        <v>11</v>
      </c>
      <c r="E188" s="22">
        <f>SUM(E192,E208,E212,E226,E234,E237,E243,E217,E223)</f>
        <v>40843225</v>
      </c>
      <c r="F188" s="22">
        <v>0</v>
      </c>
      <c r="G188" s="361">
        <f>SUM(G192,G208,G212,G226,G234,G237,G243,G217,G223,G240)</f>
        <v>46094246</v>
      </c>
      <c r="H188" s="361">
        <f>SUM(H192,H208,H212,H226,H234,H237,H243,H217,H223,H240)</f>
        <v>46031278.43</v>
      </c>
      <c r="I188" s="331">
        <f t="shared" ref="I188:L188" si="92">SUM(I192,I208,I212,I226,I234,I237,I243,I217,I223)</f>
        <v>0</v>
      </c>
      <c r="J188" s="403">
        <f t="shared" si="92"/>
        <v>0</v>
      </c>
      <c r="K188" s="403">
        <f t="shared" si="92"/>
        <v>0</v>
      </c>
      <c r="L188" s="312">
        <f t="shared" si="92"/>
        <v>0</v>
      </c>
      <c r="M188" s="315"/>
      <c r="N188" s="333">
        <f>SUM(N192,N208,N212,N226,N234,N237,N243,N217,N223)</f>
        <v>40843225</v>
      </c>
      <c r="O188" s="361">
        <f>SUM(O192,O208,O212,O226,O234,O237,O243,O217,O223,O240)</f>
        <v>4621841.47</v>
      </c>
      <c r="P188" s="361">
        <f t="shared" ref="P188:Q188" si="93">SUM(P192,P208,P212,P226,P234,P237,P243,P217,P223,P240)</f>
        <v>9872862.4700000007</v>
      </c>
      <c r="Q188" s="361">
        <f t="shared" si="93"/>
        <v>46094246</v>
      </c>
      <c r="R188" s="361">
        <f t="shared" ref="R188" si="94">SUM(R192,R208,R212,R226,R234,R237,R243,R217,R223,R240)</f>
        <v>46031278.43</v>
      </c>
    </row>
    <row r="189" spans="1:18" ht="20.25" customHeight="1" x14ac:dyDescent="0.2">
      <c r="A189" s="132"/>
      <c r="B189" s="133"/>
      <c r="C189" s="131"/>
      <c r="D189" s="85" t="s">
        <v>14</v>
      </c>
      <c r="E189" s="22">
        <f t="shared" ref="E189:P189" si="95">SUM(E193,E209,E231,E214,E227,E220,E244)</f>
        <v>14778831</v>
      </c>
      <c r="F189" s="22">
        <f t="shared" si="95"/>
        <v>0</v>
      </c>
      <c r="G189" s="361">
        <f t="shared" ref="G189:H189" si="96">SUM(G193,G209,G231,G214,G227,G220,G244)</f>
        <v>16252471</v>
      </c>
      <c r="H189" s="361">
        <f t="shared" si="96"/>
        <v>16049864.310000001</v>
      </c>
      <c r="I189" s="331">
        <f t="shared" si="95"/>
        <v>0</v>
      </c>
      <c r="J189" s="403">
        <f t="shared" si="95"/>
        <v>0</v>
      </c>
      <c r="K189" s="403">
        <f t="shared" si="95"/>
        <v>0</v>
      </c>
      <c r="L189" s="312">
        <f t="shared" si="95"/>
        <v>0</v>
      </c>
      <c r="M189" s="315"/>
      <c r="N189" s="333">
        <f t="shared" si="95"/>
        <v>14778831</v>
      </c>
      <c r="O189" s="361">
        <f t="shared" si="95"/>
        <v>27000</v>
      </c>
      <c r="P189" s="361">
        <f t="shared" si="95"/>
        <v>1500640</v>
      </c>
      <c r="Q189" s="361">
        <f>SUM(Q193,Q209,Q231,Q214,Q227,Q220,Q244)</f>
        <v>16252471</v>
      </c>
      <c r="R189" s="361">
        <f>SUM(R193,R209,R231,R214,R227,R220,R244)</f>
        <v>16049864.310000001</v>
      </c>
    </row>
    <row r="190" spans="1:18" ht="21" hidden="1" customHeight="1" x14ac:dyDescent="0.2">
      <c r="A190" s="132"/>
      <c r="B190" s="121">
        <v>85201</v>
      </c>
      <c r="C190" s="114" t="s">
        <v>48</v>
      </c>
      <c r="D190" s="115" t="s">
        <v>7</v>
      </c>
      <c r="E190" s="75">
        <f>SUM(E192:E193)</f>
        <v>0</v>
      </c>
      <c r="F190" s="75">
        <v>0</v>
      </c>
      <c r="G190" s="318">
        <f>SUM(G192:G193)</f>
        <v>0</v>
      </c>
      <c r="H190" s="318">
        <f>SUM(H192:H193)</f>
        <v>0</v>
      </c>
      <c r="I190" s="334">
        <f t="shared" ref="I190:Q190" si="97">SUM(I192:I193)</f>
        <v>0</v>
      </c>
      <c r="J190" s="335">
        <f t="shared" si="97"/>
        <v>0</v>
      </c>
      <c r="K190" s="335">
        <f t="shared" si="97"/>
        <v>0</v>
      </c>
      <c r="L190" s="336">
        <f t="shared" si="97"/>
        <v>0</v>
      </c>
      <c r="M190" s="427"/>
      <c r="N190" s="342">
        <f t="shared" si="97"/>
        <v>0</v>
      </c>
      <c r="O190" s="344">
        <f t="shared" si="97"/>
        <v>0</v>
      </c>
      <c r="P190" s="344">
        <f t="shared" si="97"/>
        <v>0</v>
      </c>
      <c r="Q190" s="318">
        <f t="shared" si="97"/>
        <v>0</v>
      </c>
      <c r="R190" s="318">
        <f t="shared" ref="R190" si="98">SUM(R192:R193)</f>
        <v>0</v>
      </c>
    </row>
    <row r="191" spans="1:18" ht="17.25" hidden="1" customHeight="1" x14ac:dyDescent="0.2">
      <c r="A191" s="9"/>
      <c r="B191" s="20"/>
      <c r="C191" s="104"/>
      <c r="D191" s="98" t="s">
        <v>8</v>
      </c>
      <c r="E191" s="18"/>
      <c r="F191" s="18"/>
      <c r="G191" s="329">
        <v>0</v>
      </c>
      <c r="H191" s="329">
        <v>0</v>
      </c>
      <c r="I191" s="360"/>
      <c r="J191" s="369"/>
      <c r="K191" s="369"/>
      <c r="L191" s="312">
        <v>0</v>
      </c>
      <c r="M191" s="313"/>
      <c r="N191" s="244"/>
      <c r="O191" s="323"/>
      <c r="P191" s="323"/>
      <c r="Q191" s="329">
        <v>0</v>
      </c>
      <c r="R191" s="329">
        <v>0</v>
      </c>
    </row>
    <row r="192" spans="1:18" hidden="1" x14ac:dyDescent="0.2">
      <c r="A192" s="9"/>
      <c r="B192" s="20"/>
      <c r="C192" s="104"/>
      <c r="D192" s="85" t="s">
        <v>11</v>
      </c>
      <c r="E192" s="18">
        <f>SUM(I192,N192)</f>
        <v>0</v>
      </c>
      <c r="F192" s="18"/>
      <c r="G192" s="329">
        <v>0</v>
      </c>
      <c r="H192" s="329">
        <v>0</v>
      </c>
      <c r="I192" s="360"/>
      <c r="J192" s="369"/>
      <c r="K192" s="369"/>
      <c r="L192" s="312">
        <v>0</v>
      </c>
      <c r="M192" s="313"/>
      <c r="N192" s="244"/>
      <c r="O192" s="329"/>
      <c r="P192" s="329"/>
      <c r="Q192" s="329">
        <v>0</v>
      </c>
      <c r="R192" s="329">
        <v>0</v>
      </c>
    </row>
    <row r="193" spans="1:18" ht="21" hidden="1" customHeight="1" x14ac:dyDescent="0.2">
      <c r="A193" s="9"/>
      <c r="B193" s="11"/>
      <c r="C193" s="119"/>
      <c r="D193" s="70" t="s">
        <v>14</v>
      </c>
      <c r="E193" s="18">
        <f>SUM(I193,N193)</f>
        <v>0</v>
      </c>
      <c r="F193" s="18"/>
      <c r="G193" s="329">
        <f>SUM(L193,Q193)</f>
        <v>0</v>
      </c>
      <c r="H193" s="329">
        <f>SUM(M193,R193)</f>
        <v>0</v>
      </c>
      <c r="I193" s="360"/>
      <c r="J193" s="369"/>
      <c r="K193" s="369"/>
      <c r="L193" s="312">
        <v>0</v>
      </c>
      <c r="M193" s="313"/>
      <c r="N193" s="244"/>
      <c r="O193" s="329"/>
      <c r="P193" s="329"/>
      <c r="Q193" s="329">
        <f>SUM(N193-O193+P193)</f>
        <v>0</v>
      </c>
      <c r="R193" s="329">
        <f>SUM(O193-P193+Q193)</f>
        <v>0</v>
      </c>
    </row>
    <row r="194" spans="1:18" ht="15" hidden="1" customHeight="1" x14ac:dyDescent="0.2">
      <c r="A194" s="9"/>
      <c r="B194" s="9" t="s">
        <v>49</v>
      </c>
      <c r="C194" s="104" t="s">
        <v>50</v>
      </c>
      <c r="D194" s="134" t="s">
        <v>7</v>
      </c>
      <c r="E194" s="18"/>
      <c r="F194" s="18"/>
      <c r="G194" s="329">
        <v>0</v>
      </c>
      <c r="H194" s="329">
        <v>0</v>
      </c>
      <c r="I194" s="360"/>
      <c r="J194" s="369"/>
      <c r="K194" s="369"/>
      <c r="L194" s="312">
        <v>0</v>
      </c>
      <c r="M194" s="313"/>
      <c r="N194" s="244"/>
      <c r="O194" s="323"/>
      <c r="P194" s="323"/>
      <c r="Q194" s="329">
        <v>0</v>
      </c>
      <c r="R194" s="329">
        <v>0</v>
      </c>
    </row>
    <row r="195" spans="1:18" ht="13.5" hidden="1" customHeight="1" x14ac:dyDescent="0.2">
      <c r="A195" s="9"/>
      <c r="B195" s="9"/>
      <c r="D195" s="130" t="s">
        <v>8</v>
      </c>
      <c r="E195" s="18"/>
      <c r="F195" s="18"/>
      <c r="G195" s="329">
        <v>0</v>
      </c>
      <c r="H195" s="329">
        <v>0</v>
      </c>
      <c r="I195" s="360"/>
      <c r="J195" s="369"/>
      <c r="K195" s="369"/>
      <c r="L195" s="312">
        <v>0</v>
      </c>
      <c r="M195" s="313"/>
      <c r="N195" s="244"/>
      <c r="O195" s="323"/>
      <c r="P195" s="323"/>
      <c r="Q195" s="329">
        <v>0</v>
      </c>
      <c r="R195" s="329">
        <v>0</v>
      </c>
    </row>
    <row r="196" spans="1:18" hidden="1" x14ac:dyDescent="0.2">
      <c r="A196" s="136"/>
      <c r="B196" s="9"/>
      <c r="D196" s="116" t="s">
        <v>11</v>
      </c>
      <c r="E196" s="18"/>
      <c r="F196" s="18"/>
      <c r="G196" s="329">
        <v>0</v>
      </c>
      <c r="H196" s="329">
        <v>0</v>
      </c>
      <c r="I196" s="360"/>
      <c r="J196" s="369"/>
      <c r="K196" s="369"/>
      <c r="L196" s="312">
        <v>0</v>
      </c>
      <c r="M196" s="313"/>
      <c r="N196" s="244"/>
      <c r="O196" s="323"/>
      <c r="P196" s="323"/>
      <c r="Q196" s="329">
        <v>0</v>
      </c>
      <c r="R196" s="329">
        <v>0</v>
      </c>
    </row>
    <row r="197" spans="1:18" hidden="1" x14ac:dyDescent="0.2">
      <c r="A197" s="136"/>
      <c r="B197" s="9"/>
      <c r="D197" s="123" t="s">
        <v>14</v>
      </c>
      <c r="E197" s="18"/>
      <c r="F197" s="18"/>
      <c r="G197" s="329">
        <v>0</v>
      </c>
      <c r="H197" s="329">
        <v>0</v>
      </c>
      <c r="I197" s="360"/>
      <c r="J197" s="369"/>
      <c r="K197" s="369"/>
      <c r="L197" s="312">
        <v>0</v>
      </c>
      <c r="M197" s="313"/>
      <c r="N197" s="244"/>
      <c r="O197" s="323"/>
      <c r="P197" s="323"/>
      <c r="Q197" s="329">
        <v>0</v>
      </c>
      <c r="R197" s="329">
        <v>0</v>
      </c>
    </row>
    <row r="198" spans="1:18" hidden="1" x14ac:dyDescent="0.2">
      <c r="A198" s="9"/>
      <c r="B198" s="71">
        <v>85305</v>
      </c>
      <c r="C198" s="137" t="s">
        <v>51</v>
      </c>
      <c r="D198" s="134" t="s">
        <v>7</v>
      </c>
      <c r="E198" s="18"/>
      <c r="F198" s="18"/>
      <c r="G198" s="329">
        <v>0</v>
      </c>
      <c r="H198" s="329">
        <v>0</v>
      </c>
      <c r="I198" s="360"/>
      <c r="J198" s="369"/>
      <c r="K198" s="369"/>
      <c r="L198" s="312">
        <v>0</v>
      </c>
      <c r="M198" s="313"/>
      <c r="N198" s="244"/>
      <c r="O198" s="323"/>
      <c r="P198" s="323"/>
      <c r="Q198" s="329">
        <v>0</v>
      </c>
      <c r="R198" s="329">
        <v>0</v>
      </c>
    </row>
    <row r="199" spans="1:18" hidden="1" x14ac:dyDescent="0.2">
      <c r="A199" s="136"/>
      <c r="B199" s="9"/>
      <c r="D199" s="130" t="s">
        <v>8</v>
      </c>
      <c r="E199" s="18"/>
      <c r="F199" s="18"/>
      <c r="G199" s="329">
        <v>0</v>
      </c>
      <c r="H199" s="329">
        <v>0</v>
      </c>
      <c r="I199" s="360"/>
      <c r="J199" s="369"/>
      <c r="K199" s="369"/>
      <c r="L199" s="312">
        <v>0</v>
      </c>
      <c r="M199" s="313"/>
      <c r="N199" s="244"/>
      <c r="O199" s="323"/>
      <c r="P199" s="323"/>
      <c r="Q199" s="329">
        <v>0</v>
      </c>
      <c r="R199" s="329">
        <v>0</v>
      </c>
    </row>
    <row r="200" spans="1:18" hidden="1" x14ac:dyDescent="0.2">
      <c r="A200" s="136"/>
      <c r="B200" s="9"/>
      <c r="D200" s="116" t="s">
        <v>11</v>
      </c>
      <c r="E200" s="18"/>
      <c r="F200" s="18"/>
      <c r="G200" s="329">
        <v>0</v>
      </c>
      <c r="H200" s="329">
        <v>0</v>
      </c>
      <c r="I200" s="360"/>
      <c r="J200" s="369"/>
      <c r="K200" s="369"/>
      <c r="L200" s="312">
        <v>0</v>
      </c>
      <c r="M200" s="313"/>
      <c r="N200" s="244"/>
      <c r="O200" s="323"/>
      <c r="P200" s="323"/>
      <c r="Q200" s="329">
        <v>0</v>
      </c>
      <c r="R200" s="329">
        <v>0</v>
      </c>
    </row>
    <row r="201" spans="1:18" hidden="1" x14ac:dyDescent="0.2">
      <c r="A201" s="136"/>
      <c r="B201" s="11"/>
      <c r="C201" s="138"/>
      <c r="D201" s="123" t="s">
        <v>14</v>
      </c>
      <c r="E201" s="18"/>
      <c r="F201" s="18"/>
      <c r="G201" s="329">
        <v>0</v>
      </c>
      <c r="H201" s="329">
        <v>0</v>
      </c>
      <c r="I201" s="360"/>
      <c r="J201" s="369"/>
      <c r="K201" s="369"/>
      <c r="L201" s="312">
        <v>0</v>
      </c>
      <c r="M201" s="313"/>
      <c r="N201" s="244"/>
      <c r="O201" s="323"/>
      <c r="P201" s="323"/>
      <c r="Q201" s="329">
        <v>0</v>
      </c>
      <c r="R201" s="329">
        <v>0</v>
      </c>
    </row>
    <row r="202" spans="1:18" hidden="1" x14ac:dyDescent="0.2">
      <c r="A202" s="9"/>
      <c r="B202" s="9">
        <v>85314</v>
      </c>
      <c r="C202" s="135" t="s">
        <v>52</v>
      </c>
      <c r="D202" s="134" t="s">
        <v>7</v>
      </c>
      <c r="E202" s="18"/>
      <c r="F202" s="18"/>
      <c r="G202" s="329">
        <v>0</v>
      </c>
      <c r="H202" s="329">
        <v>0</v>
      </c>
      <c r="I202" s="360"/>
      <c r="J202" s="369"/>
      <c r="K202" s="369"/>
      <c r="L202" s="312">
        <v>0</v>
      </c>
      <c r="M202" s="313"/>
      <c r="N202" s="244"/>
      <c r="O202" s="323"/>
      <c r="P202" s="323"/>
      <c r="Q202" s="329">
        <v>0</v>
      </c>
      <c r="R202" s="329">
        <v>0</v>
      </c>
    </row>
    <row r="203" spans="1:18" hidden="1" x14ac:dyDescent="0.2">
      <c r="A203" s="136"/>
      <c r="B203" s="9"/>
      <c r="C203" s="135" t="s">
        <v>53</v>
      </c>
      <c r="D203" s="130" t="s">
        <v>8</v>
      </c>
      <c r="E203" s="18"/>
      <c r="F203" s="18"/>
      <c r="G203" s="329">
        <v>0</v>
      </c>
      <c r="H203" s="329">
        <v>0</v>
      </c>
      <c r="I203" s="360"/>
      <c r="J203" s="369"/>
      <c r="K203" s="369"/>
      <c r="L203" s="312">
        <v>0</v>
      </c>
      <c r="M203" s="313"/>
      <c r="N203" s="244"/>
      <c r="O203" s="323"/>
      <c r="P203" s="323"/>
      <c r="Q203" s="329">
        <v>0</v>
      </c>
      <c r="R203" s="329">
        <v>0</v>
      </c>
    </row>
    <row r="204" spans="1:18" hidden="1" x14ac:dyDescent="0.2">
      <c r="A204" s="136"/>
      <c r="B204" s="9"/>
      <c r="D204" s="116" t="s">
        <v>11</v>
      </c>
      <c r="E204" s="18"/>
      <c r="F204" s="18"/>
      <c r="G204" s="329">
        <v>0</v>
      </c>
      <c r="H204" s="329">
        <v>0</v>
      </c>
      <c r="I204" s="360"/>
      <c r="J204" s="369"/>
      <c r="K204" s="369"/>
      <c r="L204" s="312">
        <v>0</v>
      </c>
      <c r="M204" s="313"/>
      <c r="N204" s="244"/>
      <c r="O204" s="323"/>
      <c r="P204" s="323"/>
      <c r="Q204" s="329">
        <v>0</v>
      </c>
      <c r="R204" s="329">
        <v>0</v>
      </c>
    </row>
    <row r="205" spans="1:18" hidden="1" x14ac:dyDescent="0.2">
      <c r="A205" s="136"/>
      <c r="B205" s="9"/>
      <c r="D205" s="116" t="s">
        <v>14</v>
      </c>
      <c r="E205" s="18"/>
      <c r="F205" s="18"/>
      <c r="G205" s="329">
        <v>0</v>
      </c>
      <c r="H205" s="329">
        <v>0</v>
      </c>
      <c r="I205" s="360"/>
      <c r="J205" s="369"/>
      <c r="K205" s="369"/>
      <c r="L205" s="312">
        <v>0</v>
      </c>
      <c r="M205" s="313"/>
      <c r="N205" s="244"/>
      <c r="O205" s="323"/>
      <c r="P205" s="323"/>
      <c r="Q205" s="329">
        <v>0</v>
      </c>
      <c r="R205" s="329">
        <v>0</v>
      </c>
    </row>
    <row r="206" spans="1:18" ht="20.25" customHeight="1" x14ac:dyDescent="0.2">
      <c r="A206" s="136"/>
      <c r="B206" s="139">
        <v>85202</v>
      </c>
      <c r="C206" s="140" t="s">
        <v>54</v>
      </c>
      <c r="D206" s="8" t="s">
        <v>7</v>
      </c>
      <c r="E206" s="207">
        <f>SUM(E208:E209)</f>
        <v>11614000</v>
      </c>
      <c r="F206" s="207">
        <v>0</v>
      </c>
      <c r="G206" s="318">
        <f>SUM(G208:G209)</f>
        <v>12992570</v>
      </c>
      <c r="H206" s="318">
        <f>SUM(H208:H209)</f>
        <v>12989311.300000001</v>
      </c>
      <c r="I206" s="334">
        <f t="shared" ref="I206:Q206" si="99">SUM(I208:I209)</f>
        <v>0</v>
      </c>
      <c r="J206" s="420">
        <f t="shared" si="99"/>
        <v>0</v>
      </c>
      <c r="K206" s="420">
        <f t="shared" si="99"/>
        <v>0</v>
      </c>
      <c r="L206" s="336">
        <f t="shared" si="99"/>
        <v>0</v>
      </c>
      <c r="M206" s="421"/>
      <c r="N206" s="342">
        <f t="shared" si="99"/>
        <v>11614000</v>
      </c>
      <c r="O206" s="318">
        <f t="shared" si="99"/>
        <v>88170</v>
      </c>
      <c r="P206" s="318">
        <f t="shared" si="99"/>
        <v>1466740</v>
      </c>
      <c r="Q206" s="318">
        <f t="shared" si="99"/>
        <v>12992570</v>
      </c>
      <c r="R206" s="318">
        <f t="shared" ref="R206" si="100">SUM(R208:R209)</f>
        <v>12989311.300000001</v>
      </c>
    </row>
    <row r="207" spans="1:18" ht="15" customHeight="1" x14ac:dyDescent="0.2">
      <c r="A207" s="136"/>
      <c r="B207" s="9"/>
      <c r="D207" s="130" t="s">
        <v>8</v>
      </c>
      <c r="E207" s="18"/>
      <c r="F207" s="18"/>
      <c r="G207" s="329"/>
      <c r="H207" s="367"/>
      <c r="I207" s="360"/>
      <c r="J207" s="369"/>
      <c r="K207" s="369"/>
      <c r="L207" s="312"/>
      <c r="M207" s="313"/>
      <c r="N207" s="244"/>
      <c r="O207" s="329"/>
      <c r="P207" s="329"/>
      <c r="Q207" s="329"/>
      <c r="R207" s="329"/>
    </row>
    <row r="208" spans="1:18" ht="19.5" customHeight="1" x14ac:dyDescent="0.2">
      <c r="A208" s="136"/>
      <c r="B208" s="9"/>
      <c r="D208" s="116" t="s">
        <v>11</v>
      </c>
      <c r="E208" s="18">
        <f>SUM(I208,N208)</f>
        <v>280000</v>
      </c>
      <c r="F208" s="18"/>
      <c r="G208" s="329">
        <f>SUM(L208,Q208)</f>
        <v>255830</v>
      </c>
      <c r="H208" s="367">
        <f>SUM(M208,R208)</f>
        <v>255829.24</v>
      </c>
      <c r="I208" s="360"/>
      <c r="J208" s="369"/>
      <c r="K208" s="369"/>
      <c r="L208" s="312">
        <v>0</v>
      </c>
      <c r="M208" s="313"/>
      <c r="N208" s="244">
        <v>280000</v>
      </c>
      <c r="O208" s="329">
        <f>80000+250+7920</f>
        <v>88170</v>
      </c>
      <c r="P208" s="329">
        <v>64000</v>
      </c>
      <c r="Q208" s="329">
        <f t="shared" ref="Q208:Q209" si="101">SUM(N208-O208+P208)</f>
        <v>255830</v>
      </c>
      <c r="R208" s="329">
        <v>255829.24</v>
      </c>
    </row>
    <row r="209" spans="1:18" ht="21.75" customHeight="1" x14ac:dyDescent="0.2">
      <c r="A209" s="136"/>
      <c r="B209" s="11"/>
      <c r="C209" s="138"/>
      <c r="D209" s="123" t="s">
        <v>14</v>
      </c>
      <c r="E209" s="18">
        <f>SUM(I209,N209)</f>
        <v>11334000</v>
      </c>
      <c r="F209" s="18"/>
      <c r="G209" s="329">
        <f>SUM(L209,Q209)</f>
        <v>12736740</v>
      </c>
      <c r="H209" s="367">
        <f>SUM(M209,R209)</f>
        <v>12733482.060000001</v>
      </c>
      <c r="I209" s="360"/>
      <c r="J209" s="369"/>
      <c r="K209" s="369"/>
      <c r="L209" s="312">
        <v>0</v>
      </c>
      <c r="M209" s="313"/>
      <c r="N209" s="244">
        <v>11334000</v>
      </c>
      <c r="O209" s="329"/>
      <c r="P209" s="329">
        <f>607962+592800+125418+76560</f>
        <v>1402740</v>
      </c>
      <c r="Q209" s="329">
        <f t="shared" si="101"/>
        <v>12736740</v>
      </c>
      <c r="R209" s="329">
        <v>12733482.060000001</v>
      </c>
    </row>
    <row r="210" spans="1:18" ht="19.5" customHeight="1" x14ac:dyDescent="0.2">
      <c r="A210" s="9"/>
      <c r="B210" s="141">
        <v>85203</v>
      </c>
      <c r="C210" s="142" t="s">
        <v>55</v>
      </c>
      <c r="D210" s="18" t="s">
        <v>7</v>
      </c>
      <c r="E210" s="207">
        <f>SUM(E212:E214)</f>
        <v>13735934</v>
      </c>
      <c r="F210" s="207">
        <v>0</v>
      </c>
      <c r="G210" s="318">
        <f>SUM(G212:G214)</f>
        <v>13680844.24</v>
      </c>
      <c r="H210" s="318">
        <f>SUM(H212:H214)</f>
        <v>13656663.720000001</v>
      </c>
      <c r="I210" s="334">
        <f t="shared" ref="I210:R210" si="102">SUM(I212:I214)</f>
        <v>0</v>
      </c>
      <c r="J210" s="420">
        <f t="shared" si="102"/>
        <v>0</v>
      </c>
      <c r="K210" s="420">
        <f t="shared" si="102"/>
        <v>0</v>
      </c>
      <c r="L210" s="336">
        <f t="shared" si="102"/>
        <v>0</v>
      </c>
      <c r="M210" s="421"/>
      <c r="N210" s="342">
        <f t="shared" si="102"/>
        <v>13735934</v>
      </c>
      <c r="O210" s="371">
        <f t="shared" si="102"/>
        <v>2077594</v>
      </c>
      <c r="P210" s="371">
        <f t="shared" si="102"/>
        <v>2022504.2399999998</v>
      </c>
      <c r="Q210" s="318">
        <f t="shared" si="102"/>
        <v>13680844.24</v>
      </c>
      <c r="R210" s="318">
        <f t="shared" si="102"/>
        <v>13656663.720000001</v>
      </c>
    </row>
    <row r="211" spans="1:18" ht="17.25" customHeight="1" x14ac:dyDescent="0.2">
      <c r="A211" s="136"/>
      <c r="B211" s="9"/>
      <c r="D211" s="130" t="s">
        <v>8</v>
      </c>
      <c r="E211" s="18"/>
      <c r="F211" s="18"/>
      <c r="G211" s="329"/>
      <c r="H211" s="367"/>
      <c r="I211" s="360"/>
      <c r="J211" s="369"/>
      <c r="K211" s="369"/>
      <c r="L211" s="312"/>
      <c r="M211" s="313"/>
      <c r="N211" s="244"/>
      <c r="O211" s="323"/>
      <c r="P211" s="323"/>
      <c r="Q211" s="329"/>
      <c r="R211" s="329"/>
    </row>
    <row r="212" spans="1:18" ht="21" customHeight="1" x14ac:dyDescent="0.2">
      <c r="A212" s="136"/>
      <c r="B212" s="9"/>
      <c r="D212" s="116" t="s">
        <v>11</v>
      </c>
      <c r="E212" s="18">
        <f>SUM(I212,N212)</f>
        <v>13735934</v>
      </c>
      <c r="F212" s="18"/>
      <c r="G212" s="329">
        <f>SUM(L212,Q212)</f>
        <v>13680844.24</v>
      </c>
      <c r="H212" s="367">
        <f>SUM(M212,R212)</f>
        <v>13656663.720000001</v>
      </c>
      <c r="I212" s="360"/>
      <c r="J212" s="369"/>
      <c r="K212" s="369"/>
      <c r="L212" s="312">
        <v>0</v>
      </c>
      <c r="M212" s="313"/>
      <c r="N212" s="244">
        <v>13735934</v>
      </c>
      <c r="O212" s="329">
        <f>52070+400000+120000+500000+59160+50006+23955+120000+50000+46463+46500+56700+30+537710+15000</f>
        <v>2077594</v>
      </c>
      <c r="P212" s="329">
        <f>169000+778017.6+93000+694675.2+287561.44+250</f>
        <v>2022504.2399999998</v>
      </c>
      <c r="Q212" s="329">
        <f t="shared" ref="Q212:Q214" si="103">SUM(N212-O212+P212)</f>
        <v>13680844.24</v>
      </c>
      <c r="R212" s="329">
        <v>13656663.720000001</v>
      </c>
    </row>
    <row r="213" spans="1:18" hidden="1" x14ac:dyDescent="0.2">
      <c r="A213" s="9"/>
      <c r="B213" s="9"/>
      <c r="D213" s="116" t="s">
        <v>14</v>
      </c>
      <c r="E213" s="18">
        <v>0</v>
      </c>
      <c r="F213" s="18"/>
      <c r="G213" s="329">
        <f>SUM(L213,Q213)</f>
        <v>0</v>
      </c>
      <c r="H213" s="367"/>
      <c r="I213" s="360"/>
      <c r="J213" s="369"/>
      <c r="K213" s="369"/>
      <c r="L213" s="312">
        <v>0</v>
      </c>
      <c r="M213" s="313"/>
      <c r="N213" s="244"/>
      <c r="O213" s="323"/>
      <c r="P213" s="323"/>
      <c r="Q213" s="329">
        <f t="shared" si="103"/>
        <v>0</v>
      </c>
      <c r="R213" s="329"/>
    </row>
    <row r="214" spans="1:18" ht="21.75" hidden="1" customHeight="1" x14ac:dyDescent="0.2">
      <c r="A214" s="136"/>
      <c r="B214" s="11"/>
      <c r="C214" s="138"/>
      <c r="D214" s="123" t="s">
        <v>14</v>
      </c>
      <c r="E214" s="89">
        <f>SUM(I214,N214)</f>
        <v>0</v>
      </c>
      <c r="F214" s="89"/>
      <c r="G214" s="329">
        <f>SUM(L214,Q214)</f>
        <v>0</v>
      </c>
      <c r="H214" s="373"/>
      <c r="I214" s="387"/>
      <c r="J214" s="388"/>
      <c r="K214" s="388"/>
      <c r="L214" s="312">
        <v>0</v>
      </c>
      <c r="M214" s="313"/>
      <c r="N214" s="244"/>
      <c r="O214" s="329"/>
      <c r="P214" s="329"/>
      <c r="Q214" s="329">
        <f t="shared" si="103"/>
        <v>0</v>
      </c>
      <c r="R214" s="329"/>
    </row>
    <row r="215" spans="1:18" ht="21.75" hidden="1" customHeight="1" x14ac:dyDescent="0.2">
      <c r="A215" s="9"/>
      <c r="B215" s="9">
        <v>85204</v>
      </c>
      <c r="C215" s="135" t="s">
        <v>50</v>
      </c>
      <c r="D215" s="8" t="s">
        <v>7</v>
      </c>
      <c r="E215" s="105">
        <f>SUM(E217)</f>
        <v>0</v>
      </c>
      <c r="F215" s="105"/>
      <c r="G215" s="380">
        <f>SUM(G217)</f>
        <v>0</v>
      </c>
      <c r="H215" s="376"/>
      <c r="I215" s="360"/>
      <c r="J215" s="394"/>
      <c r="K215" s="394"/>
      <c r="L215" s="336"/>
      <c r="M215" s="421"/>
      <c r="N215" s="379">
        <f>SUM(N217)</f>
        <v>0</v>
      </c>
      <c r="O215" s="380">
        <f t="shared" ref="O215:Q215" si="104">SUM(O217)</f>
        <v>0</v>
      </c>
      <c r="P215" s="380">
        <f t="shared" si="104"/>
        <v>0</v>
      </c>
      <c r="Q215" s="380">
        <f t="shared" si="104"/>
        <v>0</v>
      </c>
      <c r="R215" s="329"/>
    </row>
    <row r="216" spans="1:18" ht="21.75" hidden="1" customHeight="1" x14ac:dyDescent="0.2">
      <c r="A216" s="9"/>
      <c r="B216" s="9"/>
      <c r="D216" s="130" t="s">
        <v>8</v>
      </c>
      <c r="E216" s="105"/>
      <c r="F216" s="105"/>
      <c r="G216" s="329"/>
      <c r="H216" s="376"/>
      <c r="I216" s="360"/>
      <c r="J216" s="394"/>
      <c r="K216" s="394"/>
      <c r="L216" s="312"/>
      <c r="M216" s="315"/>
      <c r="N216" s="244"/>
      <c r="O216" s="428"/>
      <c r="P216" s="428"/>
      <c r="Q216" s="329"/>
      <c r="R216" s="329"/>
    </row>
    <row r="217" spans="1:18" ht="21.75" hidden="1" customHeight="1" x14ac:dyDescent="0.2">
      <c r="A217" s="9"/>
      <c r="B217" s="9"/>
      <c r="D217" s="116" t="s">
        <v>11</v>
      </c>
      <c r="E217" s="105">
        <f>SUM(I217,N217)</f>
        <v>0</v>
      </c>
      <c r="F217" s="105"/>
      <c r="G217" s="329">
        <f>SUM(L217,Q217)</f>
        <v>0</v>
      </c>
      <c r="H217" s="376"/>
      <c r="I217" s="360"/>
      <c r="J217" s="394"/>
      <c r="K217" s="394"/>
      <c r="L217" s="312"/>
      <c r="M217" s="315"/>
      <c r="N217" s="244"/>
      <c r="O217" s="205"/>
      <c r="P217" s="205"/>
      <c r="Q217" s="329">
        <f t="shared" ref="Q217" si="105">SUM(N217-O217+P217)</f>
        <v>0</v>
      </c>
      <c r="R217" s="329"/>
    </row>
    <row r="218" spans="1:18" ht="21.75" customHeight="1" x14ac:dyDescent="0.2">
      <c r="A218" s="9"/>
      <c r="B218" s="71">
        <v>85205</v>
      </c>
      <c r="C218" s="137" t="s">
        <v>108</v>
      </c>
      <c r="D218" s="8" t="s">
        <v>7</v>
      </c>
      <c r="E218" s="117">
        <f>SUM(E220)</f>
        <v>671000</v>
      </c>
      <c r="F218" s="117"/>
      <c r="G218" s="318">
        <f>SUM(G220)</f>
        <v>731000</v>
      </c>
      <c r="H218" s="318">
        <f>SUM(H220)</f>
        <v>731000</v>
      </c>
      <c r="I218" s="381">
        <f t="shared" ref="I218:R218" si="106">SUM(I220)</f>
        <v>0</v>
      </c>
      <c r="J218" s="393">
        <f t="shared" si="106"/>
        <v>0</v>
      </c>
      <c r="K218" s="393">
        <f t="shared" si="106"/>
        <v>0</v>
      </c>
      <c r="L218" s="336">
        <f t="shared" si="106"/>
        <v>0</v>
      </c>
      <c r="M218" s="421"/>
      <c r="N218" s="379">
        <f t="shared" si="106"/>
        <v>671000</v>
      </c>
      <c r="O218" s="380">
        <f t="shared" si="106"/>
        <v>27000</v>
      </c>
      <c r="P218" s="380">
        <f t="shared" si="106"/>
        <v>87000</v>
      </c>
      <c r="Q218" s="318">
        <f t="shared" si="106"/>
        <v>731000</v>
      </c>
      <c r="R218" s="318">
        <f t="shared" si="106"/>
        <v>731000</v>
      </c>
    </row>
    <row r="219" spans="1:18" ht="21.75" customHeight="1" x14ac:dyDescent="0.2">
      <c r="A219" s="9"/>
      <c r="B219" s="9"/>
      <c r="D219" s="130" t="s">
        <v>8</v>
      </c>
      <c r="E219" s="105"/>
      <c r="F219" s="105"/>
      <c r="G219" s="329"/>
      <c r="H219" s="376"/>
      <c r="I219" s="360"/>
      <c r="J219" s="394"/>
      <c r="K219" s="394"/>
      <c r="L219" s="312"/>
      <c r="M219" s="315"/>
      <c r="N219" s="244"/>
      <c r="O219" s="323"/>
      <c r="P219" s="323"/>
      <c r="Q219" s="329"/>
      <c r="R219" s="329"/>
    </row>
    <row r="220" spans="1:18" ht="21.75" customHeight="1" x14ac:dyDescent="0.2">
      <c r="A220" s="9"/>
      <c r="B220" s="9"/>
      <c r="D220" s="116" t="s">
        <v>14</v>
      </c>
      <c r="E220" s="105">
        <f>SUM(I220,N220)</f>
        <v>671000</v>
      </c>
      <c r="F220" s="105"/>
      <c r="G220" s="329">
        <f>SUM(L220,Q220)</f>
        <v>731000</v>
      </c>
      <c r="H220" s="376">
        <f>SUM(M220,R220)</f>
        <v>731000</v>
      </c>
      <c r="I220" s="360"/>
      <c r="J220" s="394"/>
      <c r="K220" s="394"/>
      <c r="L220" s="312"/>
      <c r="M220" s="315"/>
      <c r="N220" s="244">
        <v>671000</v>
      </c>
      <c r="O220" s="329">
        <v>27000</v>
      </c>
      <c r="P220" s="329">
        <f>27000+23000+37000</f>
        <v>87000</v>
      </c>
      <c r="Q220" s="329">
        <f>SUM(N220-O220+P220)</f>
        <v>731000</v>
      </c>
      <c r="R220" s="329">
        <v>731000</v>
      </c>
    </row>
    <row r="221" spans="1:18" ht="21.75" hidden="1" customHeight="1" x14ac:dyDescent="0.2">
      <c r="A221" s="9"/>
      <c r="B221" s="71">
        <v>85219</v>
      </c>
      <c r="C221" s="137" t="s">
        <v>92</v>
      </c>
      <c r="D221" s="8" t="s">
        <v>7</v>
      </c>
      <c r="E221" s="117">
        <f>SUM(E223)</f>
        <v>0</v>
      </c>
      <c r="F221" s="117"/>
      <c r="G221" s="380">
        <f>SUM(G223)</f>
        <v>0</v>
      </c>
      <c r="H221" s="429"/>
      <c r="I221" s="381"/>
      <c r="J221" s="393"/>
      <c r="K221" s="393"/>
      <c r="L221" s="336"/>
      <c r="M221" s="421"/>
      <c r="N221" s="379">
        <f>SUM(N223)</f>
        <v>0</v>
      </c>
      <c r="O221" s="380">
        <f t="shared" ref="O221:Q221" si="107">SUM(O223)</f>
        <v>0</v>
      </c>
      <c r="P221" s="380">
        <f t="shared" si="107"/>
        <v>0</v>
      </c>
      <c r="Q221" s="380">
        <f t="shared" si="107"/>
        <v>0</v>
      </c>
      <c r="R221" s="329"/>
    </row>
    <row r="222" spans="1:18" ht="21.75" hidden="1" customHeight="1" x14ac:dyDescent="0.2">
      <c r="A222" s="9"/>
      <c r="B222" s="9"/>
      <c r="D222" s="130" t="s">
        <v>8</v>
      </c>
      <c r="E222" s="105"/>
      <c r="F222" s="105"/>
      <c r="G222" s="329"/>
      <c r="H222" s="376"/>
      <c r="I222" s="360"/>
      <c r="J222" s="394"/>
      <c r="K222" s="394"/>
      <c r="L222" s="312"/>
      <c r="M222" s="315"/>
      <c r="N222" s="244"/>
      <c r="O222" s="329"/>
      <c r="P222" s="329"/>
      <c r="Q222" s="329"/>
      <c r="R222" s="329"/>
    </row>
    <row r="223" spans="1:18" ht="21.75" hidden="1" customHeight="1" x14ac:dyDescent="0.2">
      <c r="A223" s="9"/>
      <c r="B223" s="9"/>
      <c r="D223" s="116" t="s">
        <v>11</v>
      </c>
      <c r="E223" s="105">
        <f>SUM(I223,N223)</f>
        <v>0</v>
      </c>
      <c r="F223" s="105"/>
      <c r="G223" s="329">
        <f>SUM(L223,Q223)</f>
        <v>0</v>
      </c>
      <c r="H223" s="376"/>
      <c r="I223" s="360"/>
      <c r="J223" s="394"/>
      <c r="K223" s="394"/>
      <c r="L223" s="312"/>
      <c r="M223" s="315"/>
      <c r="N223" s="244"/>
      <c r="O223" s="329"/>
      <c r="P223" s="329"/>
      <c r="Q223" s="329">
        <f>SUM(N223-O223+P223)</f>
        <v>0</v>
      </c>
      <c r="R223" s="329"/>
    </row>
    <row r="224" spans="1:18" ht="29.25" customHeight="1" x14ac:dyDescent="0.2">
      <c r="A224" s="9"/>
      <c r="B224" s="139">
        <v>85220</v>
      </c>
      <c r="C224" s="143" t="s">
        <v>56</v>
      </c>
      <c r="D224" s="8" t="s">
        <v>7</v>
      </c>
      <c r="E224" s="207">
        <f>SUM(E226:E227)</f>
        <v>2545760</v>
      </c>
      <c r="F224" s="207">
        <v>0</v>
      </c>
      <c r="G224" s="318">
        <f>SUM(G226:G227)</f>
        <v>2584465</v>
      </c>
      <c r="H224" s="318">
        <f>SUM(H226:H227)</f>
        <v>2578515</v>
      </c>
      <c r="I224" s="334">
        <f t="shared" ref="I224:R224" si="108">SUM(I226:I227)</f>
        <v>0</v>
      </c>
      <c r="J224" s="420">
        <f t="shared" si="108"/>
        <v>0</v>
      </c>
      <c r="K224" s="420">
        <f t="shared" si="108"/>
        <v>0</v>
      </c>
      <c r="L224" s="336">
        <f t="shared" si="108"/>
        <v>0</v>
      </c>
      <c r="M224" s="421"/>
      <c r="N224" s="342">
        <f t="shared" si="108"/>
        <v>2545760</v>
      </c>
      <c r="O224" s="318">
        <f t="shared" si="108"/>
        <v>1920</v>
      </c>
      <c r="P224" s="318">
        <f t="shared" si="108"/>
        <v>40625</v>
      </c>
      <c r="Q224" s="318">
        <f t="shared" si="108"/>
        <v>2584465</v>
      </c>
      <c r="R224" s="318">
        <f t="shared" si="108"/>
        <v>2578515</v>
      </c>
    </row>
    <row r="225" spans="1:18" ht="16.5" customHeight="1" x14ac:dyDescent="0.2">
      <c r="A225" s="9"/>
      <c r="B225" s="141"/>
      <c r="C225" s="144"/>
      <c r="D225" s="130" t="s">
        <v>8</v>
      </c>
      <c r="E225" s="18"/>
      <c r="F225" s="18"/>
      <c r="G225" s="329"/>
      <c r="H225" s="367"/>
      <c r="I225" s="360"/>
      <c r="J225" s="369"/>
      <c r="K225" s="369"/>
      <c r="L225" s="312"/>
      <c r="M225" s="313"/>
      <c r="N225" s="244"/>
      <c r="O225" s="329"/>
      <c r="P225" s="329"/>
      <c r="Q225" s="329"/>
      <c r="R225" s="329"/>
    </row>
    <row r="226" spans="1:18" ht="18.75" customHeight="1" x14ac:dyDescent="0.2">
      <c r="A226" s="136"/>
      <c r="B226" s="9"/>
      <c r="D226" s="116" t="s">
        <v>11</v>
      </c>
      <c r="E226" s="18">
        <f>SUM(I226,N226)</f>
        <v>583760</v>
      </c>
      <c r="F226" s="18"/>
      <c r="G226" s="329">
        <f>SUM(L226,Q226)</f>
        <v>622465</v>
      </c>
      <c r="H226" s="367">
        <f>SUM(M226,R226)</f>
        <v>616515</v>
      </c>
      <c r="I226" s="360"/>
      <c r="J226" s="369"/>
      <c r="K226" s="369"/>
      <c r="L226" s="312">
        <v>0</v>
      </c>
      <c r="M226" s="313"/>
      <c r="N226" s="244">
        <v>583760</v>
      </c>
      <c r="O226" s="329">
        <v>1920</v>
      </c>
      <c r="P226" s="329">
        <f>8505+30600+1520</f>
        <v>40625</v>
      </c>
      <c r="Q226" s="329">
        <f t="shared" ref="Q226:Q227" si="109">SUM(N226-O226+P226)</f>
        <v>622465</v>
      </c>
      <c r="R226" s="329">
        <v>616515</v>
      </c>
    </row>
    <row r="227" spans="1:18" ht="15.75" customHeight="1" x14ac:dyDescent="0.2">
      <c r="A227" s="136"/>
      <c r="B227" s="11"/>
      <c r="C227" s="138"/>
      <c r="D227" s="123" t="s">
        <v>14</v>
      </c>
      <c r="E227" s="89">
        <f>SUM(I227,N227)</f>
        <v>1962000</v>
      </c>
      <c r="F227" s="89"/>
      <c r="G227" s="329">
        <f>SUM(L227,Q227)</f>
        <v>1962000</v>
      </c>
      <c r="H227" s="373">
        <f>SUM(M227,R227)</f>
        <v>1962000</v>
      </c>
      <c r="I227" s="387"/>
      <c r="J227" s="388"/>
      <c r="K227" s="388"/>
      <c r="L227" s="312">
        <v>0</v>
      </c>
      <c r="M227" s="313"/>
      <c r="N227" s="374">
        <v>1962000</v>
      </c>
      <c r="O227" s="329"/>
      <c r="P227" s="329"/>
      <c r="Q227" s="329">
        <f t="shared" si="109"/>
        <v>1962000</v>
      </c>
      <c r="R227" s="329">
        <v>1962000</v>
      </c>
    </row>
    <row r="228" spans="1:18" ht="18" hidden="1" customHeight="1" x14ac:dyDescent="0.2">
      <c r="A228" s="9"/>
      <c r="B228" s="9">
        <v>85226</v>
      </c>
      <c r="C228" s="135" t="s">
        <v>57</v>
      </c>
      <c r="D228" s="134" t="s">
        <v>7</v>
      </c>
      <c r="E228" s="22">
        <v>0</v>
      </c>
      <c r="F228" s="22">
        <v>0</v>
      </c>
      <c r="G228" s="318">
        <v>0</v>
      </c>
      <c r="H228" s="392"/>
      <c r="I228" s="331">
        <v>0</v>
      </c>
      <c r="J228" s="403"/>
      <c r="K228" s="403"/>
      <c r="L228" s="336">
        <v>0</v>
      </c>
      <c r="M228" s="315"/>
      <c r="N228" s="333">
        <v>0</v>
      </c>
      <c r="O228" s="338"/>
      <c r="P228" s="338"/>
      <c r="Q228" s="318">
        <v>0</v>
      </c>
      <c r="R228" s="329"/>
    </row>
    <row r="229" spans="1:18" ht="17.25" hidden="1" customHeight="1" x14ac:dyDescent="0.2">
      <c r="A229" s="9"/>
      <c r="B229" s="9"/>
      <c r="D229" s="130" t="s">
        <v>8</v>
      </c>
      <c r="E229" s="18"/>
      <c r="F229" s="18"/>
      <c r="G229" s="329">
        <v>0</v>
      </c>
      <c r="H229" s="367"/>
      <c r="I229" s="360"/>
      <c r="J229" s="369"/>
      <c r="K229" s="369"/>
      <c r="L229" s="312">
        <v>0</v>
      </c>
      <c r="M229" s="313"/>
      <c r="N229" s="244"/>
      <c r="O229" s="323"/>
      <c r="P229" s="323"/>
      <c r="Q229" s="329">
        <v>0</v>
      </c>
      <c r="R229" s="329"/>
    </row>
    <row r="230" spans="1:18" hidden="1" x14ac:dyDescent="0.2">
      <c r="A230" s="136"/>
      <c r="B230" s="9"/>
      <c r="D230" s="116" t="s">
        <v>11</v>
      </c>
      <c r="E230" s="18"/>
      <c r="F230" s="18"/>
      <c r="G230" s="329">
        <v>0</v>
      </c>
      <c r="H230" s="367"/>
      <c r="I230" s="360"/>
      <c r="J230" s="369"/>
      <c r="K230" s="369"/>
      <c r="L230" s="312">
        <v>0</v>
      </c>
      <c r="M230" s="313"/>
      <c r="N230" s="244"/>
      <c r="O230" s="323"/>
      <c r="P230" s="323"/>
      <c r="Q230" s="329">
        <v>0</v>
      </c>
      <c r="R230" s="329"/>
    </row>
    <row r="231" spans="1:18" ht="18" hidden="1" customHeight="1" x14ac:dyDescent="0.2">
      <c r="A231" s="136"/>
      <c r="B231" s="11"/>
      <c r="C231" s="138"/>
      <c r="D231" s="123" t="s">
        <v>14</v>
      </c>
      <c r="E231" s="89">
        <f>SUM(I231,N231)</f>
        <v>0</v>
      </c>
      <c r="F231" s="89"/>
      <c r="G231" s="329">
        <v>0</v>
      </c>
      <c r="H231" s="373"/>
      <c r="I231" s="387"/>
      <c r="J231" s="388"/>
      <c r="K231" s="388"/>
      <c r="L231" s="312">
        <v>0</v>
      </c>
      <c r="M231" s="313"/>
      <c r="N231" s="244"/>
      <c r="O231" s="323"/>
      <c r="P231" s="323"/>
      <c r="Q231" s="329">
        <v>0</v>
      </c>
      <c r="R231" s="329"/>
    </row>
    <row r="232" spans="1:18" ht="21.75" customHeight="1" x14ac:dyDescent="0.2">
      <c r="A232" s="9"/>
      <c r="B232" s="139">
        <v>85228</v>
      </c>
      <c r="C232" s="145" t="s">
        <v>58</v>
      </c>
      <c r="D232" s="8" t="s">
        <v>7</v>
      </c>
      <c r="E232" s="207">
        <f>SUM(E234)</f>
        <v>20281024</v>
      </c>
      <c r="F232" s="207">
        <v>0</v>
      </c>
      <c r="G232" s="318">
        <f>SUM(G234)</f>
        <v>23448065.760000002</v>
      </c>
      <c r="H232" s="318">
        <f>SUM(H234)</f>
        <v>23440704.93</v>
      </c>
      <c r="I232" s="334">
        <f t="shared" ref="I232:R232" si="110">SUM(I234)</f>
        <v>0</v>
      </c>
      <c r="J232" s="420">
        <f t="shared" si="110"/>
        <v>0</v>
      </c>
      <c r="K232" s="420">
        <f t="shared" si="110"/>
        <v>0</v>
      </c>
      <c r="L232" s="336">
        <f t="shared" si="110"/>
        <v>0</v>
      </c>
      <c r="M232" s="421"/>
      <c r="N232" s="342">
        <f t="shared" si="110"/>
        <v>20281024</v>
      </c>
      <c r="O232" s="318">
        <f t="shared" si="110"/>
        <v>2314245.4699999997</v>
      </c>
      <c r="P232" s="318">
        <f t="shared" si="110"/>
        <v>5481287.2300000004</v>
      </c>
      <c r="Q232" s="318">
        <f t="shared" si="110"/>
        <v>23448065.760000002</v>
      </c>
      <c r="R232" s="318">
        <f t="shared" si="110"/>
        <v>23440704.93</v>
      </c>
    </row>
    <row r="233" spans="1:18" ht="19.5" customHeight="1" x14ac:dyDescent="0.2">
      <c r="A233" s="9"/>
      <c r="B233" s="9"/>
      <c r="D233" s="130" t="s">
        <v>8</v>
      </c>
      <c r="E233" s="18"/>
      <c r="F233" s="18"/>
      <c r="G233" s="329"/>
      <c r="H233" s="367"/>
      <c r="I233" s="360"/>
      <c r="J233" s="369"/>
      <c r="K233" s="369"/>
      <c r="L233" s="312"/>
      <c r="M233" s="313"/>
      <c r="N233" s="244"/>
      <c r="O233" s="329"/>
      <c r="P233" s="329"/>
      <c r="Q233" s="329"/>
      <c r="R233" s="329"/>
    </row>
    <row r="234" spans="1:18" ht="21" customHeight="1" x14ac:dyDescent="0.2">
      <c r="A234" s="136"/>
      <c r="B234" s="9"/>
      <c r="D234" s="116" t="s">
        <v>11</v>
      </c>
      <c r="E234" s="18">
        <f>SUM(I234,N234)</f>
        <v>20281024</v>
      </c>
      <c r="F234" s="18"/>
      <c r="G234" s="329">
        <f>SUM(L234,Q234)</f>
        <v>23448065.760000002</v>
      </c>
      <c r="H234" s="367">
        <f>SUM(M234,R234)</f>
        <v>23440704.93</v>
      </c>
      <c r="I234" s="360"/>
      <c r="J234" s="369"/>
      <c r="K234" s="369"/>
      <c r="L234" s="312">
        <v>0</v>
      </c>
      <c r="M234" s="313"/>
      <c r="N234" s="244">
        <v>20281024</v>
      </c>
      <c r="O234" s="329">
        <f>4271+64826+6940+10000+390900+400000+258000+50000+100000+368300+31316.47+116727+511965+1000</f>
        <v>2314245.4699999997</v>
      </c>
      <c r="P234" s="329">
        <f>500000+4925800+55487.23</f>
        <v>5481287.2300000004</v>
      </c>
      <c r="Q234" s="329">
        <f>SUM(N234-O234+P234)</f>
        <v>23448065.760000002</v>
      </c>
      <c r="R234" s="329">
        <v>23440704.93</v>
      </c>
    </row>
    <row r="235" spans="1:18" ht="17.25" hidden="1" customHeight="1" x14ac:dyDescent="0.2">
      <c r="A235" s="9"/>
      <c r="B235" s="71">
        <v>85231</v>
      </c>
      <c r="C235" s="137" t="s">
        <v>58</v>
      </c>
      <c r="D235" s="8" t="s">
        <v>7</v>
      </c>
      <c r="E235" s="117">
        <f>SUM(E237)</f>
        <v>0</v>
      </c>
      <c r="F235" s="117">
        <v>0</v>
      </c>
      <c r="G235" s="318">
        <f>SUM(G237)</f>
        <v>0</v>
      </c>
      <c r="H235" s="429"/>
      <c r="I235" s="381">
        <v>0</v>
      </c>
      <c r="J235" s="393"/>
      <c r="K235" s="393"/>
      <c r="L235" s="336">
        <v>0</v>
      </c>
      <c r="M235" s="421"/>
      <c r="N235" s="379">
        <f>SUM(N237)</f>
        <v>0</v>
      </c>
      <c r="O235" s="318">
        <f>SUM(O237)</f>
        <v>0</v>
      </c>
      <c r="P235" s="318">
        <f>SUM(P237)</f>
        <v>0</v>
      </c>
      <c r="Q235" s="318">
        <f>SUM(Q237)</f>
        <v>0</v>
      </c>
      <c r="R235" s="329"/>
    </row>
    <row r="236" spans="1:18" ht="17.25" hidden="1" customHeight="1" x14ac:dyDescent="0.2">
      <c r="A236" s="9"/>
      <c r="B236" s="9"/>
      <c r="D236" s="130" t="s">
        <v>8</v>
      </c>
      <c r="E236" s="105"/>
      <c r="F236" s="105"/>
      <c r="G236" s="329"/>
      <c r="H236" s="376"/>
      <c r="I236" s="360"/>
      <c r="J236" s="394"/>
      <c r="K236" s="394"/>
      <c r="L236" s="312"/>
      <c r="M236" s="315"/>
      <c r="N236" s="244"/>
      <c r="O236" s="329"/>
      <c r="P236" s="329"/>
      <c r="Q236" s="329"/>
      <c r="R236" s="329"/>
    </row>
    <row r="237" spans="1:18" ht="19.5" hidden="1" customHeight="1" x14ac:dyDescent="0.2">
      <c r="A237" s="9"/>
      <c r="B237" s="9"/>
      <c r="D237" s="116" t="s">
        <v>11</v>
      </c>
      <c r="E237" s="105">
        <f>SUM(I237,N237)</f>
        <v>0</v>
      </c>
      <c r="F237" s="105"/>
      <c r="G237" s="329">
        <f>SUM(L237,Q237)</f>
        <v>0</v>
      </c>
      <c r="H237" s="376"/>
      <c r="I237" s="360"/>
      <c r="J237" s="394"/>
      <c r="K237" s="394"/>
      <c r="L237" s="312">
        <v>0</v>
      </c>
      <c r="M237" s="315"/>
      <c r="N237" s="244"/>
      <c r="O237" s="205"/>
      <c r="P237" s="329"/>
      <c r="Q237" s="329">
        <f>SUM(N237-O237+P237)</f>
        <v>0</v>
      </c>
      <c r="R237" s="329"/>
    </row>
    <row r="238" spans="1:18" ht="19.5" hidden="1" customHeight="1" x14ac:dyDescent="0.2">
      <c r="A238" s="9"/>
      <c r="B238" s="71">
        <v>85232</v>
      </c>
      <c r="C238" s="137" t="s">
        <v>113</v>
      </c>
      <c r="D238" s="146" t="s">
        <v>7</v>
      </c>
      <c r="E238" s="117">
        <f>SUM(E240)</f>
        <v>0</v>
      </c>
      <c r="F238" s="117"/>
      <c r="G238" s="318">
        <f>SUM(G240)</f>
        <v>0</v>
      </c>
      <c r="H238" s="429"/>
      <c r="I238" s="381"/>
      <c r="J238" s="393"/>
      <c r="K238" s="393"/>
      <c r="L238" s="336"/>
      <c r="M238" s="421"/>
      <c r="N238" s="379">
        <f>SUM(N240)</f>
        <v>0</v>
      </c>
      <c r="O238" s="380">
        <f>SUM(O240)</f>
        <v>0</v>
      </c>
      <c r="P238" s="318">
        <f>SUM(P240)</f>
        <v>0</v>
      </c>
      <c r="Q238" s="318">
        <f>SUM(Q240)</f>
        <v>0</v>
      </c>
      <c r="R238" s="329"/>
    </row>
    <row r="239" spans="1:18" ht="19.5" hidden="1" customHeight="1" x14ac:dyDescent="0.2">
      <c r="A239" s="9"/>
      <c r="B239" s="9"/>
      <c r="D239" s="116" t="s">
        <v>8</v>
      </c>
      <c r="E239" s="105"/>
      <c r="F239" s="105"/>
      <c r="G239" s="329"/>
      <c r="H239" s="376"/>
      <c r="I239" s="360"/>
      <c r="J239" s="394"/>
      <c r="K239" s="394"/>
      <c r="L239" s="312"/>
      <c r="M239" s="315"/>
      <c r="N239" s="244"/>
      <c r="O239" s="205"/>
      <c r="P239" s="329"/>
      <c r="Q239" s="329"/>
      <c r="R239" s="329"/>
    </row>
    <row r="240" spans="1:18" ht="19.5" hidden="1" customHeight="1" x14ac:dyDescent="0.2">
      <c r="A240" s="9"/>
      <c r="B240" s="9"/>
      <c r="D240" s="116" t="s">
        <v>11</v>
      </c>
      <c r="E240" s="105">
        <f>SUM(I240,N240)</f>
        <v>0</v>
      </c>
      <c r="F240" s="105"/>
      <c r="G240" s="329">
        <f>SUM(L240,Q240)</f>
        <v>0</v>
      </c>
      <c r="H240" s="376"/>
      <c r="I240" s="360"/>
      <c r="J240" s="394"/>
      <c r="K240" s="394"/>
      <c r="L240" s="312"/>
      <c r="M240" s="315"/>
      <c r="N240" s="244"/>
      <c r="O240" s="205"/>
      <c r="P240" s="329"/>
      <c r="Q240" s="329">
        <f>SUM(N240-O240+P240)</f>
        <v>0</v>
      </c>
      <c r="R240" s="329"/>
    </row>
    <row r="241" spans="1:20" ht="18" customHeight="1" x14ac:dyDescent="0.2">
      <c r="A241" s="9"/>
      <c r="B241" s="71">
        <v>85295</v>
      </c>
      <c r="C241" s="137" t="s">
        <v>13</v>
      </c>
      <c r="D241" s="115" t="s">
        <v>7</v>
      </c>
      <c r="E241" s="207">
        <f>SUM(E243:E244)</f>
        <v>6774338</v>
      </c>
      <c r="F241" s="207">
        <v>0</v>
      </c>
      <c r="G241" s="318">
        <f>SUM(G243:G244)</f>
        <v>8909772</v>
      </c>
      <c r="H241" s="318">
        <f>SUM(H243:H244)</f>
        <v>8684947.7899999991</v>
      </c>
      <c r="I241" s="334">
        <f t="shared" ref="I241:L241" si="111">SUM(I243)</f>
        <v>0</v>
      </c>
      <c r="J241" s="420">
        <f t="shared" si="111"/>
        <v>0</v>
      </c>
      <c r="K241" s="420">
        <f t="shared" si="111"/>
        <v>0</v>
      </c>
      <c r="L241" s="336">
        <f t="shared" si="111"/>
        <v>0</v>
      </c>
      <c r="M241" s="421"/>
      <c r="N241" s="342">
        <f>SUM(N243:N244)</f>
        <v>6774338</v>
      </c>
      <c r="O241" s="318">
        <f t="shared" ref="O241:R241" si="112">SUM(O243:O244)</f>
        <v>139912</v>
      </c>
      <c r="P241" s="318">
        <f t="shared" si="112"/>
        <v>2275346</v>
      </c>
      <c r="Q241" s="318">
        <f t="shared" si="112"/>
        <v>8909772</v>
      </c>
      <c r="R241" s="318">
        <f t="shared" si="112"/>
        <v>8684947.7899999991</v>
      </c>
    </row>
    <row r="242" spans="1:20" ht="18.75" customHeight="1" x14ac:dyDescent="0.2">
      <c r="A242" s="9"/>
      <c r="B242" s="9"/>
      <c r="D242" s="130" t="s">
        <v>8</v>
      </c>
      <c r="E242" s="317"/>
      <c r="F242" s="18"/>
      <c r="G242" s="323"/>
      <c r="H242" s="372"/>
      <c r="I242" s="360"/>
      <c r="J242" s="369"/>
      <c r="K242" s="369"/>
      <c r="L242" s="312"/>
      <c r="M242" s="313"/>
      <c r="N242" s="244"/>
      <c r="O242" s="329"/>
      <c r="P242" s="329"/>
      <c r="Q242" s="329"/>
      <c r="R242" s="329"/>
    </row>
    <row r="243" spans="1:20" ht="21.75" customHeight="1" x14ac:dyDescent="0.2">
      <c r="A243" s="136"/>
      <c r="B243" s="9"/>
      <c r="D243" s="116" t="s">
        <v>11</v>
      </c>
      <c r="E243" s="18">
        <f>SUM(I243,N243)</f>
        <v>5962507</v>
      </c>
      <c r="F243" s="18"/>
      <c r="G243" s="329">
        <f>SUM(L243,Q243)</f>
        <v>8087041</v>
      </c>
      <c r="H243" s="367">
        <f>SUM(M243,R243)</f>
        <v>8061565.54</v>
      </c>
      <c r="I243" s="360"/>
      <c r="J243" s="369"/>
      <c r="K243" s="369"/>
      <c r="L243" s="312">
        <v>0</v>
      </c>
      <c r="M243" s="313"/>
      <c r="N243" s="244">
        <v>5962507</v>
      </c>
      <c r="O243" s="329">
        <f>8505+8800+50000+42605+20002+10000</f>
        <v>139912</v>
      </c>
      <c r="P243" s="329">
        <f>161000+175590+795150+1000+9000+130000+768000+168006+56700</f>
        <v>2264446</v>
      </c>
      <c r="Q243" s="329">
        <f>SUM(N243-O243+P243)</f>
        <v>8087041</v>
      </c>
      <c r="R243" s="329">
        <v>8061565.54</v>
      </c>
      <c r="T243" s="316"/>
    </row>
    <row r="244" spans="1:20" ht="19.5" customHeight="1" thickBot="1" x14ac:dyDescent="0.25">
      <c r="A244" s="147"/>
      <c r="B244" s="31"/>
      <c r="C244" s="148"/>
      <c r="D244" s="149" t="s">
        <v>14</v>
      </c>
      <c r="E244" s="18">
        <f>SUM(I244,N244)</f>
        <v>811831</v>
      </c>
      <c r="F244" s="105"/>
      <c r="G244" s="329">
        <f>SUM(L244,Q244)</f>
        <v>822731</v>
      </c>
      <c r="H244" s="376">
        <f>SUM(M244,R244)</f>
        <v>623382.25</v>
      </c>
      <c r="I244" s="360"/>
      <c r="J244" s="394"/>
      <c r="K244" s="394"/>
      <c r="L244" s="314"/>
      <c r="M244" s="315"/>
      <c r="N244" s="244">
        <v>811831</v>
      </c>
      <c r="O244" s="329"/>
      <c r="P244" s="329">
        <v>10900</v>
      </c>
      <c r="Q244" s="329">
        <f>SUM(N244-O244+P244)</f>
        <v>822731</v>
      </c>
      <c r="R244" s="329">
        <v>623382.25</v>
      </c>
      <c r="T244" s="316"/>
    </row>
    <row r="245" spans="1:20" ht="19.5" customHeight="1" x14ac:dyDescent="0.2">
      <c r="A245" s="150">
        <v>853</v>
      </c>
      <c r="B245" s="94"/>
      <c r="C245" s="151" t="s">
        <v>59</v>
      </c>
      <c r="D245" s="152" t="s">
        <v>7</v>
      </c>
      <c r="E245" s="208">
        <f>SUM(E247:E248)</f>
        <v>21097694</v>
      </c>
      <c r="F245" s="208">
        <v>0</v>
      </c>
      <c r="G245" s="345">
        <f>SUM(G247:G248)</f>
        <v>22977139</v>
      </c>
      <c r="H245" s="345">
        <f>SUM(H247:H248)</f>
        <v>22630878.789999999</v>
      </c>
      <c r="I245" s="350">
        <f t="shared" ref="I245:Q245" si="113">SUM(I247:I248)</f>
        <v>1769444</v>
      </c>
      <c r="J245" s="402">
        <f t="shared" si="113"/>
        <v>0</v>
      </c>
      <c r="K245" s="402">
        <f t="shared" si="113"/>
        <v>0</v>
      </c>
      <c r="L245" s="402">
        <f t="shared" si="113"/>
        <v>1769444</v>
      </c>
      <c r="M245" s="430">
        <f t="shared" ref="M245" si="114">SUM(M247:M248)</f>
        <v>1769439.46</v>
      </c>
      <c r="N245" s="350">
        <f t="shared" si="113"/>
        <v>19328250</v>
      </c>
      <c r="O245" s="345">
        <f t="shared" si="113"/>
        <v>763353</v>
      </c>
      <c r="P245" s="345">
        <f t="shared" si="113"/>
        <v>2642798</v>
      </c>
      <c r="Q245" s="345">
        <f t="shared" si="113"/>
        <v>21207695</v>
      </c>
      <c r="R245" s="345">
        <f t="shared" ref="R245" si="115">SUM(R247:R248)</f>
        <v>20861439.329999998</v>
      </c>
    </row>
    <row r="246" spans="1:20" ht="19.5" customHeight="1" x14ac:dyDescent="0.2">
      <c r="A246" s="308"/>
      <c r="B246" s="9"/>
      <c r="D246" s="130" t="s">
        <v>8</v>
      </c>
      <c r="E246" s="18"/>
      <c r="F246" s="18"/>
      <c r="G246" s="329"/>
      <c r="H246" s="329"/>
      <c r="I246" s="244"/>
      <c r="J246" s="323"/>
      <c r="K246" s="323"/>
      <c r="L246" s="340"/>
      <c r="M246" s="332"/>
      <c r="N246" s="244"/>
      <c r="O246" s="323"/>
      <c r="P246" s="323"/>
      <c r="Q246" s="329"/>
      <c r="R246" s="329"/>
    </row>
    <row r="247" spans="1:20" ht="18" customHeight="1" x14ac:dyDescent="0.2">
      <c r="A247" s="136"/>
      <c r="B247" s="9"/>
      <c r="D247" s="116" t="s">
        <v>11</v>
      </c>
      <c r="E247" s="18">
        <f>SUM(E251,E260,E264,E254,E257)</f>
        <v>19328250</v>
      </c>
      <c r="F247" s="18">
        <v>0</v>
      </c>
      <c r="G247" s="329">
        <f>SUM(G251,G260,G264,G254,G257)</f>
        <v>21207695</v>
      </c>
      <c r="H247" s="329">
        <f>SUM(H251,H260,H264,H254,H257)</f>
        <v>20861439.329999998</v>
      </c>
      <c r="I247" s="360">
        <f t="shared" ref="I247:Q247" si="116">SUM(I251,I260,I264,I254,I257)</f>
        <v>0</v>
      </c>
      <c r="J247" s="370">
        <f t="shared" si="116"/>
        <v>0</v>
      </c>
      <c r="K247" s="370">
        <f t="shared" si="116"/>
        <v>0</v>
      </c>
      <c r="L247" s="314">
        <f t="shared" si="116"/>
        <v>0</v>
      </c>
      <c r="M247" s="315">
        <f t="shared" ref="M247" si="117">SUM(M251,M260,M264,M254,M257)</f>
        <v>0</v>
      </c>
      <c r="N247" s="244">
        <f t="shared" si="116"/>
        <v>19328250</v>
      </c>
      <c r="O247" s="329">
        <f>SUM(O251,O260,O264,O254,O257)</f>
        <v>763353</v>
      </c>
      <c r="P247" s="329">
        <f t="shared" si="116"/>
        <v>2642798</v>
      </c>
      <c r="Q247" s="329">
        <f t="shared" si="116"/>
        <v>21207695</v>
      </c>
      <c r="R247" s="329">
        <f t="shared" ref="R247" si="118">SUM(R251,R260,R264,R254,R257)</f>
        <v>20861439.329999998</v>
      </c>
    </row>
    <row r="248" spans="1:20" ht="18.75" customHeight="1" x14ac:dyDescent="0.2">
      <c r="A248" s="136"/>
      <c r="B248" s="9"/>
      <c r="D248" s="116" t="s">
        <v>14</v>
      </c>
      <c r="E248" s="18">
        <f>SUM(E261,E265)</f>
        <v>1769444</v>
      </c>
      <c r="F248" s="18">
        <v>0</v>
      </c>
      <c r="G248" s="329">
        <f>SUM(G261,G265)</f>
        <v>1769444</v>
      </c>
      <c r="H248" s="329">
        <f>SUM(H261,H265)</f>
        <v>1769439.46</v>
      </c>
      <c r="I248" s="244">
        <f t="shared" ref="I248:Q248" si="119">SUM(I261,I265)</f>
        <v>1769444</v>
      </c>
      <c r="J248" s="329">
        <f t="shared" si="119"/>
        <v>0</v>
      </c>
      <c r="K248" s="329">
        <f t="shared" si="119"/>
        <v>0</v>
      </c>
      <c r="L248" s="361">
        <f t="shared" si="119"/>
        <v>1769444</v>
      </c>
      <c r="M248" s="431">
        <f t="shared" ref="M248" si="120">SUM(M261,M265)</f>
        <v>1769439.46</v>
      </c>
      <c r="N248" s="360">
        <f t="shared" si="119"/>
        <v>0</v>
      </c>
      <c r="O248" s="370">
        <f t="shared" si="119"/>
        <v>0</v>
      </c>
      <c r="P248" s="370">
        <f t="shared" si="119"/>
        <v>0</v>
      </c>
      <c r="Q248" s="370">
        <f t="shared" si="119"/>
        <v>0</v>
      </c>
      <c r="R248" s="370">
        <f t="shared" ref="R248" si="121">SUM(R261,R265)</f>
        <v>0</v>
      </c>
    </row>
    <row r="249" spans="1:20" ht="18.75" hidden="1" customHeight="1" x14ac:dyDescent="0.2">
      <c r="A249" s="9"/>
      <c r="B249" s="71">
        <v>85305</v>
      </c>
      <c r="C249" s="137" t="s">
        <v>51</v>
      </c>
      <c r="D249" s="8" t="s">
        <v>7</v>
      </c>
      <c r="E249" s="117">
        <f>SUM(E251)</f>
        <v>0</v>
      </c>
      <c r="F249" s="117"/>
      <c r="G249" s="318">
        <f>SUM(G251)</f>
        <v>0</v>
      </c>
      <c r="H249" s="318">
        <f>SUM(H251)</f>
        <v>0</v>
      </c>
      <c r="I249" s="379">
        <f t="shared" ref="I249:Q249" si="122">SUM(I251)</f>
        <v>0</v>
      </c>
      <c r="J249" s="432">
        <f t="shared" si="122"/>
        <v>0</v>
      </c>
      <c r="K249" s="432">
        <f t="shared" si="122"/>
        <v>0</v>
      </c>
      <c r="L249" s="371">
        <f t="shared" si="122"/>
        <v>0</v>
      </c>
      <c r="M249" s="433">
        <f t="shared" ref="M249" si="123">SUM(M251)</f>
        <v>0</v>
      </c>
      <c r="N249" s="379">
        <f t="shared" si="122"/>
        <v>0</v>
      </c>
      <c r="O249" s="380">
        <f t="shared" si="122"/>
        <v>0</v>
      </c>
      <c r="P249" s="380">
        <f t="shared" si="122"/>
        <v>0</v>
      </c>
      <c r="Q249" s="318">
        <f t="shared" si="122"/>
        <v>0</v>
      </c>
      <c r="R249" s="318">
        <f t="shared" ref="R249" si="124">SUM(R251)</f>
        <v>0</v>
      </c>
    </row>
    <row r="250" spans="1:20" ht="18.75" hidden="1" customHeight="1" x14ac:dyDescent="0.2">
      <c r="A250" s="9"/>
      <c r="B250" s="9"/>
      <c r="D250" s="130" t="s">
        <v>8</v>
      </c>
      <c r="E250" s="105"/>
      <c r="F250" s="105"/>
      <c r="G250" s="329">
        <v>0</v>
      </c>
      <c r="H250" s="329">
        <v>1</v>
      </c>
      <c r="I250" s="244"/>
      <c r="J250" s="428"/>
      <c r="K250" s="428"/>
      <c r="L250" s="361"/>
      <c r="M250" s="431"/>
      <c r="N250" s="244"/>
      <c r="O250" s="323"/>
      <c r="P250" s="323"/>
      <c r="Q250" s="329">
        <v>0</v>
      </c>
      <c r="R250" s="329">
        <v>1</v>
      </c>
    </row>
    <row r="251" spans="1:20" ht="18.75" hidden="1" customHeight="1" x14ac:dyDescent="0.2">
      <c r="A251" s="9"/>
      <c r="B251" s="11"/>
      <c r="C251" s="138"/>
      <c r="D251" s="123" t="s">
        <v>11</v>
      </c>
      <c r="E251" s="209">
        <f>SUM(I251,N251)</f>
        <v>0</v>
      </c>
      <c r="F251" s="209"/>
      <c r="G251" s="351">
        <f>SUM(L251,Q251)</f>
        <v>0</v>
      </c>
      <c r="H251" s="351">
        <f>SUM(M251,R251)</f>
        <v>0</v>
      </c>
      <c r="I251" s="374"/>
      <c r="J251" s="434"/>
      <c r="K251" s="434"/>
      <c r="L251" s="155"/>
      <c r="M251" s="248"/>
      <c r="N251" s="374"/>
      <c r="O251" s="351"/>
      <c r="P251" s="351"/>
      <c r="Q251" s="351">
        <f>SUM(N251-O251+P251)</f>
        <v>0</v>
      </c>
      <c r="R251" s="351">
        <f>SUM(O251-P251+Q251)</f>
        <v>0</v>
      </c>
    </row>
    <row r="252" spans="1:20" ht="18.75" hidden="1" customHeight="1" x14ac:dyDescent="0.2">
      <c r="A252" s="9"/>
      <c r="B252" s="71">
        <v>85306</v>
      </c>
      <c r="C252" s="137" t="s">
        <v>89</v>
      </c>
      <c r="D252" s="8" t="s">
        <v>7</v>
      </c>
      <c r="E252" s="117">
        <f>SUM(E254)</f>
        <v>0</v>
      </c>
      <c r="F252" s="117"/>
      <c r="G252" s="318">
        <f>SUM(G254)</f>
        <v>0</v>
      </c>
      <c r="H252" s="318">
        <f>SUM(H254)</f>
        <v>0</v>
      </c>
      <c r="I252" s="379">
        <f t="shared" ref="I252:Q252" si="125">SUM(I254)</f>
        <v>0</v>
      </c>
      <c r="J252" s="432">
        <f t="shared" si="125"/>
        <v>0</v>
      </c>
      <c r="K252" s="432">
        <f t="shared" si="125"/>
        <v>0</v>
      </c>
      <c r="L252" s="371">
        <f t="shared" si="125"/>
        <v>0</v>
      </c>
      <c r="M252" s="433">
        <f t="shared" ref="M252" si="126">SUM(M254)</f>
        <v>0</v>
      </c>
      <c r="N252" s="379">
        <f t="shared" si="125"/>
        <v>0</v>
      </c>
      <c r="O252" s="380">
        <f t="shared" si="125"/>
        <v>0</v>
      </c>
      <c r="P252" s="380">
        <f t="shared" si="125"/>
        <v>0</v>
      </c>
      <c r="Q252" s="318">
        <f t="shared" si="125"/>
        <v>0</v>
      </c>
      <c r="R252" s="318">
        <f t="shared" ref="R252" si="127">SUM(R254)</f>
        <v>0</v>
      </c>
    </row>
    <row r="253" spans="1:20" ht="18.75" hidden="1" customHeight="1" x14ac:dyDescent="0.2">
      <c r="A253" s="9"/>
      <c r="B253" s="9"/>
      <c r="D253" s="130" t="s">
        <v>8</v>
      </c>
      <c r="E253" s="105"/>
      <c r="F253" s="105"/>
      <c r="G253" s="329">
        <v>0</v>
      </c>
      <c r="H253" s="329">
        <v>1</v>
      </c>
      <c r="I253" s="244"/>
      <c r="J253" s="428"/>
      <c r="K253" s="428"/>
      <c r="L253" s="361"/>
      <c r="M253" s="431"/>
      <c r="N253" s="244"/>
      <c r="O253" s="323"/>
      <c r="P253" s="323"/>
      <c r="Q253" s="329">
        <v>0</v>
      </c>
      <c r="R253" s="329">
        <v>1</v>
      </c>
    </row>
    <row r="254" spans="1:20" ht="18.75" hidden="1" customHeight="1" x14ac:dyDescent="0.2">
      <c r="A254" s="9"/>
      <c r="B254" s="11"/>
      <c r="C254" s="138"/>
      <c r="D254" s="123" t="s">
        <v>11</v>
      </c>
      <c r="E254" s="209">
        <f>SUM(I254,N254)</f>
        <v>0</v>
      </c>
      <c r="F254" s="209"/>
      <c r="G254" s="351">
        <f>SUM(L254,Q254)</f>
        <v>0</v>
      </c>
      <c r="H254" s="351">
        <f>SUM(M254,R254)</f>
        <v>0</v>
      </c>
      <c r="I254" s="374"/>
      <c r="J254" s="434"/>
      <c r="K254" s="434"/>
      <c r="L254" s="155"/>
      <c r="M254" s="248"/>
      <c r="N254" s="374"/>
      <c r="O254" s="351"/>
      <c r="P254" s="351"/>
      <c r="Q254" s="351">
        <f>SUM(N254-O254+P254)</f>
        <v>0</v>
      </c>
      <c r="R254" s="351">
        <f>SUM(O254-P254+Q254)</f>
        <v>0</v>
      </c>
    </row>
    <row r="255" spans="1:20" ht="18.75" hidden="1" customHeight="1" x14ac:dyDescent="0.2">
      <c r="A255" s="9"/>
      <c r="B255" s="71">
        <v>85307</v>
      </c>
      <c r="C255" s="137" t="s">
        <v>90</v>
      </c>
      <c r="D255" s="8" t="s">
        <v>7</v>
      </c>
      <c r="E255" s="105">
        <f>SUM(E257)</f>
        <v>0</v>
      </c>
      <c r="F255" s="105"/>
      <c r="G255" s="329">
        <f>SUM(G257)</f>
        <v>0</v>
      </c>
      <c r="H255" s="329">
        <f>SUM(H257)</f>
        <v>0</v>
      </c>
      <c r="I255" s="244">
        <f t="shared" ref="I255:Q255" si="128">SUM(I257)</f>
        <v>0</v>
      </c>
      <c r="J255" s="428">
        <f t="shared" si="128"/>
        <v>0</v>
      </c>
      <c r="K255" s="428">
        <f t="shared" si="128"/>
        <v>0</v>
      </c>
      <c r="L255" s="361">
        <f t="shared" si="128"/>
        <v>0</v>
      </c>
      <c r="M255" s="431">
        <f t="shared" ref="M255" si="129">SUM(M257)</f>
        <v>0</v>
      </c>
      <c r="N255" s="244">
        <f t="shared" si="128"/>
        <v>0</v>
      </c>
      <c r="O255" s="205">
        <f t="shared" si="128"/>
        <v>0</v>
      </c>
      <c r="P255" s="205">
        <f t="shared" si="128"/>
        <v>0</v>
      </c>
      <c r="Q255" s="329">
        <f t="shared" si="128"/>
        <v>0</v>
      </c>
      <c r="R255" s="329">
        <f t="shared" ref="R255" si="130">SUM(R257)</f>
        <v>0</v>
      </c>
    </row>
    <row r="256" spans="1:20" ht="18.75" hidden="1" customHeight="1" x14ac:dyDescent="0.2">
      <c r="A256" s="9"/>
      <c r="B256" s="9"/>
      <c r="D256" s="130" t="s">
        <v>8</v>
      </c>
      <c r="E256" s="105"/>
      <c r="F256" s="105"/>
      <c r="G256" s="329">
        <v>0</v>
      </c>
      <c r="H256" s="329">
        <v>1</v>
      </c>
      <c r="I256" s="244"/>
      <c r="J256" s="428"/>
      <c r="K256" s="428"/>
      <c r="L256" s="361"/>
      <c r="M256" s="431"/>
      <c r="N256" s="244"/>
      <c r="O256" s="323"/>
      <c r="P256" s="329"/>
      <c r="Q256" s="329">
        <v>0</v>
      </c>
      <c r="R256" s="329">
        <v>1</v>
      </c>
    </row>
    <row r="257" spans="1:18" ht="18.75" hidden="1" customHeight="1" x14ac:dyDescent="0.2">
      <c r="A257" s="9"/>
      <c r="B257" s="9"/>
      <c r="D257" s="123" t="s">
        <v>11</v>
      </c>
      <c r="E257" s="105">
        <f>SUM(I257,N257)</f>
        <v>0</v>
      </c>
      <c r="F257" s="105"/>
      <c r="G257" s="329">
        <f>SUM(L257,Q257)</f>
        <v>0</v>
      </c>
      <c r="H257" s="329">
        <f>SUM(M257,R257)</f>
        <v>0</v>
      </c>
      <c r="I257" s="244"/>
      <c r="J257" s="428"/>
      <c r="K257" s="428"/>
      <c r="L257" s="361"/>
      <c r="M257" s="431"/>
      <c r="N257" s="244"/>
      <c r="O257" s="329"/>
      <c r="P257" s="329"/>
      <c r="Q257" s="329">
        <f>SUM(N257-O257+P257)</f>
        <v>0</v>
      </c>
      <c r="R257" s="329">
        <f>SUM(O257-P257+Q257)</f>
        <v>0</v>
      </c>
    </row>
    <row r="258" spans="1:18" ht="21.75" customHeight="1" x14ac:dyDescent="0.2">
      <c r="A258" s="9"/>
      <c r="B258" s="71">
        <v>85311</v>
      </c>
      <c r="C258" s="153" t="s">
        <v>60</v>
      </c>
      <c r="D258" s="115" t="s">
        <v>7</v>
      </c>
      <c r="E258" s="117">
        <f>SUM(E260:E261)</f>
        <v>9622044</v>
      </c>
      <c r="F258" s="117">
        <v>0</v>
      </c>
      <c r="G258" s="318">
        <f>SUM(G260:G261)</f>
        <v>10598237</v>
      </c>
      <c r="H258" s="318">
        <f>SUM(H260:H261)</f>
        <v>10380664.27</v>
      </c>
      <c r="I258" s="379">
        <f t="shared" ref="I258:Q258" si="131">SUM(I260:I261)</f>
        <v>1769444</v>
      </c>
      <c r="J258" s="380">
        <f t="shared" si="131"/>
        <v>0</v>
      </c>
      <c r="K258" s="380">
        <f t="shared" si="131"/>
        <v>0</v>
      </c>
      <c r="L258" s="344">
        <f t="shared" si="131"/>
        <v>1769444</v>
      </c>
      <c r="M258" s="337">
        <f t="shared" ref="M258" si="132">SUM(M260:M261)</f>
        <v>1769439.46</v>
      </c>
      <c r="N258" s="379">
        <f t="shared" si="131"/>
        <v>7852600</v>
      </c>
      <c r="O258" s="318">
        <f t="shared" si="131"/>
        <v>309523</v>
      </c>
      <c r="P258" s="318">
        <f t="shared" si="131"/>
        <v>1285716</v>
      </c>
      <c r="Q258" s="318">
        <f t="shared" si="131"/>
        <v>8828793</v>
      </c>
      <c r="R258" s="318">
        <f t="shared" ref="R258" si="133">SUM(R260:R261)</f>
        <v>8611224.8100000005</v>
      </c>
    </row>
    <row r="259" spans="1:18" ht="18" customHeight="1" x14ac:dyDescent="0.2">
      <c r="A259" s="9"/>
      <c r="B259" s="9"/>
      <c r="D259" s="130" t="s">
        <v>8</v>
      </c>
      <c r="E259" s="105"/>
      <c r="F259" s="105"/>
      <c r="G259" s="323"/>
      <c r="H259" s="435"/>
      <c r="I259" s="244"/>
      <c r="J259" s="428"/>
      <c r="K259" s="428"/>
      <c r="L259" s="340"/>
      <c r="M259" s="431"/>
      <c r="N259" s="244"/>
      <c r="O259" s="323"/>
      <c r="P259" s="323"/>
      <c r="Q259" s="329"/>
      <c r="R259" s="329"/>
    </row>
    <row r="260" spans="1:18" ht="18" customHeight="1" x14ac:dyDescent="0.2">
      <c r="A260" s="9"/>
      <c r="B260" s="9"/>
      <c r="D260" s="116" t="s">
        <v>11</v>
      </c>
      <c r="E260" s="105">
        <f>SUM(I260,N260)</f>
        <v>7852600</v>
      </c>
      <c r="F260" s="105"/>
      <c r="G260" s="329">
        <f>SUM(L260,Q260)</f>
        <v>8828793</v>
      </c>
      <c r="H260" s="376">
        <f>SUM(M260,R260)</f>
        <v>8611224.8100000005</v>
      </c>
      <c r="I260" s="244"/>
      <c r="J260" s="428"/>
      <c r="K260" s="428"/>
      <c r="L260" s="312">
        <v>0</v>
      </c>
      <c r="M260" s="431"/>
      <c r="N260" s="244">
        <v>7852600</v>
      </c>
      <c r="O260" s="329">
        <f>2523+9500+17000+250000+20500+10000</f>
        <v>309523</v>
      </c>
      <c r="P260" s="329">
        <f>3000+498000+200000+10000+72981+30000+8983+350000+40000+10000+56652+6100</f>
        <v>1285716</v>
      </c>
      <c r="Q260" s="329">
        <f>SUM(N260-O260+P260)</f>
        <v>8828793</v>
      </c>
      <c r="R260" s="329">
        <v>8611224.8100000005</v>
      </c>
    </row>
    <row r="261" spans="1:18" x14ac:dyDescent="0.2">
      <c r="A261" s="9"/>
      <c r="B261" s="9"/>
      <c r="D261" s="123" t="s">
        <v>14</v>
      </c>
      <c r="E261" s="105">
        <f>SUM(I261,N261)</f>
        <v>1769444</v>
      </c>
      <c r="F261" s="105"/>
      <c r="G261" s="329">
        <f>SUM(L261,Q261)</f>
        <v>1769444</v>
      </c>
      <c r="H261" s="376">
        <f>SUM(M261,R261)</f>
        <v>1769439.46</v>
      </c>
      <c r="I261" s="244">
        <v>1769444</v>
      </c>
      <c r="J261" s="205"/>
      <c r="K261" s="205"/>
      <c r="L261" s="206">
        <f>SUM(I261-J261+K261)</f>
        <v>1769444</v>
      </c>
      <c r="M261" s="247">
        <v>1769439.46</v>
      </c>
      <c r="N261" s="244"/>
      <c r="O261" s="329"/>
      <c r="P261" s="329"/>
      <c r="Q261" s="370">
        <f>SUM(N261-O261+P261)</f>
        <v>0</v>
      </c>
      <c r="R261" s="329"/>
    </row>
    <row r="262" spans="1:18" ht="16.5" customHeight="1" x14ac:dyDescent="0.2">
      <c r="A262" s="9"/>
      <c r="B262" s="139">
        <v>85395</v>
      </c>
      <c r="C262" s="145" t="s">
        <v>13</v>
      </c>
      <c r="D262" s="8" t="s">
        <v>7</v>
      </c>
      <c r="E262" s="207">
        <f>SUM(E264:E265)</f>
        <v>11475650</v>
      </c>
      <c r="F262" s="207">
        <v>0</v>
      </c>
      <c r="G262" s="318">
        <f>SUM(G264:G265)</f>
        <v>12378902</v>
      </c>
      <c r="H262" s="318">
        <f>SUM(H264:H265)</f>
        <v>12250214.52</v>
      </c>
      <c r="I262" s="334">
        <f t="shared" ref="I262:R262" si="134">SUM(I264:I265)</f>
        <v>0</v>
      </c>
      <c r="J262" s="420">
        <f t="shared" si="134"/>
        <v>0</v>
      </c>
      <c r="K262" s="378">
        <f t="shared" si="134"/>
        <v>0</v>
      </c>
      <c r="L262" s="314">
        <f t="shared" si="134"/>
        <v>0</v>
      </c>
      <c r="M262" s="337"/>
      <c r="N262" s="342">
        <f t="shared" si="134"/>
        <v>11475650</v>
      </c>
      <c r="O262" s="371">
        <f t="shared" si="134"/>
        <v>453830</v>
      </c>
      <c r="P262" s="371">
        <f t="shared" si="134"/>
        <v>1357082</v>
      </c>
      <c r="Q262" s="318">
        <f t="shared" si="134"/>
        <v>12378902</v>
      </c>
      <c r="R262" s="318">
        <f t="shared" si="134"/>
        <v>12250214.52</v>
      </c>
    </row>
    <row r="263" spans="1:18" ht="16.5" customHeight="1" x14ac:dyDescent="0.2">
      <c r="A263" s="9"/>
      <c r="B263" s="9"/>
      <c r="D263" s="130" t="s">
        <v>8</v>
      </c>
      <c r="E263" s="18"/>
      <c r="F263" s="18"/>
      <c r="G263" s="323"/>
      <c r="H263" s="372"/>
      <c r="I263" s="360"/>
      <c r="J263" s="369"/>
      <c r="K263" s="369"/>
      <c r="L263" s="314"/>
      <c r="M263" s="431"/>
      <c r="N263" s="244"/>
      <c r="O263" s="323"/>
      <c r="P263" s="323"/>
      <c r="Q263" s="329"/>
      <c r="R263" s="329"/>
    </row>
    <row r="264" spans="1:18" ht="16.5" customHeight="1" x14ac:dyDescent="0.2">
      <c r="A264" s="136"/>
      <c r="B264" s="9"/>
      <c r="D264" s="116" t="s">
        <v>11</v>
      </c>
      <c r="E264" s="18">
        <f>SUM(I264,N264)</f>
        <v>11475650</v>
      </c>
      <c r="F264" s="18"/>
      <c r="G264" s="329">
        <f>SUM(L264,Q264)</f>
        <v>12378902</v>
      </c>
      <c r="H264" s="367">
        <f>SUM(M264,R264)</f>
        <v>12250214.52</v>
      </c>
      <c r="I264" s="360"/>
      <c r="J264" s="369"/>
      <c r="K264" s="370"/>
      <c r="L264" s="314">
        <v>0</v>
      </c>
      <c r="M264" s="431"/>
      <c r="N264" s="244">
        <v>11475650</v>
      </c>
      <c r="O264" s="329">
        <f>250000+5000+50000+29710+15110+50000+54010</f>
        <v>453830</v>
      </c>
      <c r="P264" s="329">
        <f>54190+375000+90000+690000+92892+50000+5000</f>
        <v>1357082</v>
      </c>
      <c r="Q264" s="329">
        <f>SUM(N264-O264+P264)</f>
        <v>12378902</v>
      </c>
      <c r="R264" s="329">
        <v>12250214.52</v>
      </c>
    </row>
    <row r="265" spans="1:18" ht="18.75" hidden="1" customHeight="1" x14ac:dyDescent="0.2">
      <c r="A265" s="136"/>
      <c r="B265" s="9"/>
      <c r="D265" s="116" t="s">
        <v>14</v>
      </c>
      <c r="E265" s="18">
        <f>SUM(I265,N265)</f>
        <v>0</v>
      </c>
      <c r="F265" s="18"/>
      <c r="G265" s="329">
        <f>SUM(L265,Q265)</f>
        <v>0</v>
      </c>
      <c r="H265" s="367"/>
      <c r="I265" s="360"/>
      <c r="J265" s="369"/>
      <c r="K265" s="369"/>
      <c r="L265" s="370"/>
      <c r="M265" s="368"/>
      <c r="N265" s="244"/>
      <c r="O265" s="329"/>
      <c r="P265" s="329"/>
      <c r="Q265" s="329">
        <f>SUM(N265-O265+P265)</f>
        <v>0</v>
      </c>
      <c r="R265" s="329"/>
    </row>
    <row r="266" spans="1:18" ht="15.75" hidden="1" customHeight="1" x14ac:dyDescent="0.2">
      <c r="A266" s="136"/>
      <c r="B266" s="141">
        <v>85395</v>
      </c>
      <c r="C266" s="135" t="s">
        <v>13</v>
      </c>
      <c r="D266" s="18" t="s">
        <v>7</v>
      </c>
      <c r="E266" s="18"/>
      <c r="F266" s="18"/>
      <c r="G266" s="329">
        <v>0</v>
      </c>
      <c r="H266" s="367"/>
      <c r="I266" s="360"/>
      <c r="J266" s="369"/>
      <c r="K266" s="369"/>
      <c r="L266" s="370"/>
      <c r="M266" s="368"/>
      <c r="N266" s="244"/>
      <c r="O266" s="323"/>
      <c r="P266" s="323"/>
      <c r="Q266" s="329">
        <v>0</v>
      </c>
      <c r="R266" s="329"/>
    </row>
    <row r="267" spans="1:18" ht="16.5" hidden="1" customHeight="1" x14ac:dyDescent="0.2">
      <c r="A267" s="136"/>
      <c r="B267" s="9"/>
      <c r="D267" s="130" t="s">
        <v>8</v>
      </c>
      <c r="E267" s="18"/>
      <c r="F267" s="18"/>
      <c r="G267" s="329">
        <v>0</v>
      </c>
      <c r="H267" s="367"/>
      <c r="I267" s="360"/>
      <c r="J267" s="369"/>
      <c r="K267" s="369"/>
      <c r="L267" s="370"/>
      <c r="M267" s="368"/>
      <c r="N267" s="244"/>
      <c r="O267" s="323"/>
      <c r="P267" s="323"/>
      <c r="Q267" s="329">
        <v>0</v>
      </c>
      <c r="R267" s="329"/>
    </row>
    <row r="268" spans="1:18" ht="15.75" hidden="1" customHeight="1" x14ac:dyDescent="0.2">
      <c r="A268" s="136"/>
      <c r="B268" s="9"/>
      <c r="D268" s="116" t="s">
        <v>11</v>
      </c>
      <c r="E268" s="18"/>
      <c r="F268" s="18"/>
      <c r="G268" s="329">
        <v>0</v>
      </c>
      <c r="H268" s="367"/>
      <c r="I268" s="360"/>
      <c r="J268" s="369"/>
      <c r="K268" s="369"/>
      <c r="L268" s="370"/>
      <c r="M268" s="368"/>
      <c r="N268" s="244"/>
      <c r="O268" s="323"/>
      <c r="P268" s="323"/>
      <c r="Q268" s="329">
        <v>0</v>
      </c>
      <c r="R268" s="329"/>
    </row>
    <row r="269" spans="1:18" ht="15.75" hidden="1" customHeight="1" x14ac:dyDescent="0.2">
      <c r="A269" s="136"/>
      <c r="B269" s="9"/>
      <c r="D269" s="116" t="s">
        <v>14</v>
      </c>
      <c r="E269" s="18"/>
      <c r="F269" s="18"/>
      <c r="G269" s="329"/>
      <c r="H269" s="367"/>
      <c r="I269" s="360"/>
      <c r="J269" s="369"/>
      <c r="K269" s="369"/>
      <c r="L269" s="370"/>
      <c r="M269" s="368"/>
      <c r="N269" s="244"/>
      <c r="O269" s="323"/>
      <c r="P269" s="323"/>
      <c r="Q269" s="329"/>
      <c r="R269" s="329"/>
    </row>
    <row r="270" spans="1:18" ht="6.75" customHeight="1" x14ac:dyDescent="0.2">
      <c r="A270" s="158"/>
      <c r="B270" s="11"/>
      <c r="C270" s="138"/>
      <c r="D270" s="123"/>
      <c r="E270" s="89"/>
      <c r="F270" s="89"/>
      <c r="G270" s="351"/>
      <c r="H270" s="373"/>
      <c r="I270" s="387"/>
      <c r="J270" s="388"/>
      <c r="K270" s="388"/>
      <c r="L270" s="389"/>
      <c r="M270" s="390"/>
      <c r="N270" s="374"/>
      <c r="O270" s="391"/>
      <c r="P270" s="391"/>
      <c r="Q270" s="351"/>
      <c r="R270" s="351"/>
    </row>
    <row r="271" spans="1:18" ht="17.25" customHeight="1" x14ac:dyDescent="0.2">
      <c r="A271" s="299">
        <v>854</v>
      </c>
      <c r="B271" s="71"/>
      <c r="C271" s="300" t="s">
        <v>61</v>
      </c>
      <c r="D271" s="301" t="s">
        <v>7</v>
      </c>
      <c r="E271" s="160">
        <f>SUM(E273:E274)</f>
        <v>18450000</v>
      </c>
      <c r="F271" s="160">
        <v>0</v>
      </c>
      <c r="G271" s="366">
        <f>SUM(G273:G274)</f>
        <v>18984234.949999999</v>
      </c>
      <c r="H271" s="366">
        <f>SUM(H273:H274)</f>
        <v>18929734.73</v>
      </c>
      <c r="I271" s="436">
        <f t="shared" ref="I271:Q271" si="135">SUM(I273:I274)</f>
        <v>18450000</v>
      </c>
      <c r="J271" s="437">
        <f t="shared" si="135"/>
        <v>2694086</v>
      </c>
      <c r="K271" s="438">
        <f t="shared" si="135"/>
        <v>3113910</v>
      </c>
      <c r="L271" s="438">
        <f t="shared" si="135"/>
        <v>18869824</v>
      </c>
      <c r="M271" s="439">
        <f t="shared" ref="M271" si="136">SUM(M273:M274)</f>
        <v>18815517.780000001</v>
      </c>
      <c r="N271" s="440">
        <f t="shared" si="135"/>
        <v>0</v>
      </c>
      <c r="O271" s="366">
        <f t="shared" si="135"/>
        <v>421530</v>
      </c>
      <c r="P271" s="366">
        <f t="shared" si="135"/>
        <v>535940.94999999995</v>
      </c>
      <c r="Q271" s="366">
        <f t="shared" si="135"/>
        <v>114410.94999999995</v>
      </c>
      <c r="R271" s="366">
        <f t="shared" ref="R271" si="137">SUM(R273:R274)</f>
        <v>114216.95</v>
      </c>
    </row>
    <row r="272" spans="1:18" ht="16.5" customHeight="1" x14ac:dyDescent="0.2">
      <c r="A272" s="308"/>
      <c r="B272" s="9"/>
      <c r="D272" s="130" t="s">
        <v>8</v>
      </c>
      <c r="E272" s="18"/>
      <c r="F272" s="18"/>
      <c r="G272" s="329"/>
      <c r="H272" s="329"/>
      <c r="I272" s="244"/>
      <c r="J272" s="323"/>
      <c r="K272" s="329"/>
      <c r="L272" s="441"/>
      <c r="M272" s="442"/>
      <c r="N272" s="360"/>
      <c r="O272" s="329"/>
      <c r="P272" s="329"/>
      <c r="Q272" s="329"/>
      <c r="R272" s="329"/>
    </row>
    <row r="273" spans="1:18" ht="17.25" customHeight="1" x14ac:dyDescent="0.2">
      <c r="A273" s="136"/>
      <c r="B273" s="9"/>
      <c r="D273" s="116" t="s">
        <v>11</v>
      </c>
      <c r="E273" s="22">
        <f>SUM(E286,E302)</f>
        <v>3050000</v>
      </c>
      <c r="F273" s="22">
        <v>0</v>
      </c>
      <c r="G273" s="329">
        <f>SUM(G286,G302)</f>
        <v>3246110</v>
      </c>
      <c r="H273" s="329">
        <f>SUM(H286,H302)</f>
        <v>3230054.24</v>
      </c>
      <c r="I273" s="333">
        <f t="shared" ref="I273:Q273" si="138">SUM(I286,I302)</f>
        <v>3050000</v>
      </c>
      <c r="J273" s="443">
        <f t="shared" si="138"/>
        <v>112700</v>
      </c>
      <c r="K273" s="361">
        <f t="shared" si="138"/>
        <v>308810</v>
      </c>
      <c r="L273" s="361">
        <f t="shared" si="138"/>
        <v>3246110</v>
      </c>
      <c r="M273" s="431">
        <f t="shared" ref="M273" si="139">SUM(M286,M302)</f>
        <v>3230054.24</v>
      </c>
      <c r="N273" s="331">
        <f t="shared" si="138"/>
        <v>0</v>
      </c>
      <c r="O273" s="329">
        <f t="shared" si="138"/>
        <v>0</v>
      </c>
      <c r="P273" s="329">
        <f t="shared" si="138"/>
        <v>0</v>
      </c>
      <c r="Q273" s="370">
        <f t="shared" si="138"/>
        <v>0</v>
      </c>
      <c r="R273" s="370">
        <f t="shared" ref="R273" si="140">SUM(R286,R302)</f>
        <v>0</v>
      </c>
    </row>
    <row r="274" spans="1:18" ht="18" customHeight="1" x14ac:dyDescent="0.2">
      <c r="A274" s="136"/>
      <c r="B274" s="11"/>
      <c r="C274" s="138"/>
      <c r="D274" s="123" t="s">
        <v>14</v>
      </c>
      <c r="E274" s="25">
        <f>SUM(E282,E291,E295,E308,E305,E287)</f>
        <v>15400000</v>
      </c>
      <c r="F274" s="25">
        <f t="shared" ref="F274" si="141">SUM(F282,F291,F295,F308,F305)</f>
        <v>0</v>
      </c>
      <c r="G274" s="155">
        <f>SUM(G282,G291,G295,G308,G305,G287,G311)</f>
        <v>15738124.949999999</v>
      </c>
      <c r="H274" s="155">
        <f>SUM(H282,H291,H295,H308,H305,H287,H311)</f>
        <v>15699680.49</v>
      </c>
      <c r="I274" s="246">
        <f t="shared" ref="I274:L274" si="142">SUM(I282,I291,I295,I308,I305,I287)</f>
        <v>15400000</v>
      </c>
      <c r="J274" s="444">
        <f t="shared" si="142"/>
        <v>2581386</v>
      </c>
      <c r="K274" s="155">
        <f t="shared" si="142"/>
        <v>2805100</v>
      </c>
      <c r="L274" s="155">
        <f t="shared" si="142"/>
        <v>15623714</v>
      </c>
      <c r="M274" s="248">
        <f t="shared" ref="M274" si="143">SUM(M282,M291,M295,M308,M305,M287)</f>
        <v>15585463.540000001</v>
      </c>
      <c r="N274" s="287">
        <f>SUM(N282,N291,N295,N308,N305,N287,N311)</f>
        <v>0</v>
      </c>
      <c r="O274" s="155">
        <f t="shared" ref="O274:Q274" si="144">SUM(O282,O291,O295,O308,O305,O287,O311)</f>
        <v>421530</v>
      </c>
      <c r="P274" s="155">
        <f t="shared" si="144"/>
        <v>535940.94999999995</v>
      </c>
      <c r="Q274" s="155">
        <f t="shared" si="144"/>
        <v>114410.94999999995</v>
      </c>
      <c r="R274" s="155">
        <f t="shared" ref="R274" si="145">SUM(R282,R291,R295,R308,R305,R287,R311)</f>
        <v>114216.95</v>
      </c>
    </row>
    <row r="275" spans="1:18" ht="13.5" hidden="1" customHeight="1" x14ac:dyDescent="0.2">
      <c r="A275" s="136"/>
      <c r="B275" s="9">
        <v>85402</v>
      </c>
      <c r="C275" s="135" t="s">
        <v>62</v>
      </c>
      <c r="D275" s="134" t="s">
        <v>7</v>
      </c>
      <c r="E275" s="18"/>
      <c r="F275" s="18"/>
      <c r="G275" s="329">
        <v>0</v>
      </c>
      <c r="H275" s="329">
        <v>0</v>
      </c>
      <c r="I275" s="244"/>
      <c r="J275" s="323"/>
      <c r="K275" s="329"/>
      <c r="L275" s="361">
        <v>0</v>
      </c>
      <c r="M275" s="431">
        <v>0</v>
      </c>
      <c r="N275" s="244"/>
      <c r="O275" s="329"/>
      <c r="P275" s="329"/>
      <c r="Q275" s="329">
        <v>0</v>
      </c>
      <c r="R275" s="329"/>
    </row>
    <row r="276" spans="1:18" hidden="1" x14ac:dyDescent="0.2">
      <c r="A276" s="136"/>
      <c r="B276" s="9"/>
      <c r="D276" s="130" t="s">
        <v>8</v>
      </c>
      <c r="E276" s="18"/>
      <c r="F276" s="18"/>
      <c r="G276" s="329">
        <v>0</v>
      </c>
      <c r="H276" s="329">
        <v>0</v>
      </c>
      <c r="I276" s="244"/>
      <c r="J276" s="323"/>
      <c r="K276" s="329"/>
      <c r="L276" s="361">
        <v>0</v>
      </c>
      <c r="M276" s="431">
        <v>0</v>
      </c>
      <c r="N276" s="244"/>
      <c r="O276" s="329"/>
      <c r="P276" s="329"/>
      <c r="Q276" s="329">
        <v>0</v>
      </c>
      <c r="R276" s="329"/>
    </row>
    <row r="277" spans="1:18" hidden="1" x14ac:dyDescent="0.2">
      <c r="A277" s="136"/>
      <c r="B277" s="9"/>
      <c r="D277" s="116" t="s">
        <v>11</v>
      </c>
      <c r="E277" s="18"/>
      <c r="F277" s="18"/>
      <c r="G277" s="329">
        <v>0</v>
      </c>
      <c r="H277" s="329">
        <v>0</v>
      </c>
      <c r="I277" s="244"/>
      <c r="J277" s="323"/>
      <c r="K277" s="329"/>
      <c r="L277" s="361">
        <v>0</v>
      </c>
      <c r="M277" s="431">
        <v>0</v>
      </c>
      <c r="N277" s="244"/>
      <c r="O277" s="329"/>
      <c r="P277" s="329"/>
      <c r="Q277" s="329">
        <v>0</v>
      </c>
      <c r="R277" s="329"/>
    </row>
    <row r="278" spans="1:18" ht="12" hidden="1" customHeight="1" x14ac:dyDescent="0.2">
      <c r="A278" s="136"/>
      <c r="B278" s="9"/>
      <c r="D278" s="116" t="s">
        <v>14</v>
      </c>
      <c r="E278" s="18"/>
      <c r="F278" s="18"/>
      <c r="G278" s="329">
        <v>0</v>
      </c>
      <c r="H278" s="329">
        <v>0</v>
      </c>
      <c r="I278" s="244"/>
      <c r="J278" s="323"/>
      <c r="K278" s="329"/>
      <c r="L278" s="361">
        <v>0</v>
      </c>
      <c r="M278" s="431">
        <v>0</v>
      </c>
      <c r="N278" s="244"/>
      <c r="O278" s="329"/>
      <c r="P278" s="329"/>
      <c r="Q278" s="329">
        <v>0</v>
      </c>
      <c r="R278" s="329"/>
    </row>
    <row r="279" spans="1:18" ht="20.25" hidden="1" customHeight="1" x14ac:dyDescent="0.2">
      <c r="A279" s="136"/>
      <c r="B279" s="71">
        <v>85403</v>
      </c>
      <c r="C279" s="7" t="s">
        <v>63</v>
      </c>
      <c r="D279" s="115" t="s">
        <v>7</v>
      </c>
      <c r="E279" s="207">
        <f>SUM(E282)</f>
        <v>0</v>
      </c>
      <c r="F279" s="207">
        <v>0</v>
      </c>
      <c r="G279" s="318">
        <f>SUM(G282)</f>
        <v>0</v>
      </c>
      <c r="H279" s="318">
        <f>SUM(H282)</f>
        <v>0</v>
      </c>
      <c r="I279" s="342">
        <f t="shared" ref="I279:Q279" si="146">SUM(I282)</f>
        <v>0</v>
      </c>
      <c r="J279" s="445">
        <f t="shared" si="146"/>
        <v>0</v>
      </c>
      <c r="K279" s="371">
        <f t="shared" si="146"/>
        <v>0</v>
      </c>
      <c r="L279" s="344">
        <f t="shared" si="146"/>
        <v>0</v>
      </c>
      <c r="M279" s="337">
        <f t="shared" ref="M279" si="147">SUM(M282)</f>
        <v>0</v>
      </c>
      <c r="N279" s="342">
        <f t="shared" si="146"/>
        <v>0</v>
      </c>
      <c r="O279" s="318">
        <f t="shared" si="146"/>
        <v>0</v>
      </c>
      <c r="P279" s="318">
        <f t="shared" si="146"/>
        <v>0</v>
      </c>
      <c r="Q279" s="318">
        <f t="shared" si="146"/>
        <v>0</v>
      </c>
      <c r="R279" s="329"/>
    </row>
    <row r="280" spans="1:18" ht="17.25" hidden="1" customHeight="1" x14ac:dyDescent="0.2">
      <c r="A280" s="136"/>
      <c r="B280" s="9"/>
      <c r="D280" s="130" t="s">
        <v>8</v>
      </c>
      <c r="E280" s="18"/>
      <c r="F280" s="18"/>
      <c r="G280" s="329">
        <v>0</v>
      </c>
      <c r="H280" s="329">
        <v>0</v>
      </c>
      <c r="I280" s="244"/>
      <c r="J280" s="323"/>
      <c r="K280" s="329"/>
      <c r="L280" s="361">
        <v>0</v>
      </c>
      <c r="M280" s="431">
        <v>0</v>
      </c>
      <c r="N280" s="244"/>
      <c r="O280" s="329"/>
      <c r="P280" s="329"/>
      <c r="Q280" s="329">
        <v>0</v>
      </c>
      <c r="R280" s="329"/>
    </row>
    <row r="281" spans="1:18" ht="12" hidden="1" customHeight="1" x14ac:dyDescent="0.2">
      <c r="A281" s="136"/>
      <c r="B281" s="9"/>
      <c r="D281" s="116" t="s">
        <v>11</v>
      </c>
      <c r="E281" s="18"/>
      <c r="F281" s="18"/>
      <c r="G281" s="329">
        <v>0</v>
      </c>
      <c r="H281" s="329">
        <v>0</v>
      </c>
      <c r="I281" s="244"/>
      <c r="J281" s="323"/>
      <c r="K281" s="329"/>
      <c r="L281" s="361">
        <v>0</v>
      </c>
      <c r="M281" s="431">
        <v>0</v>
      </c>
      <c r="N281" s="244"/>
      <c r="O281" s="329"/>
      <c r="P281" s="329"/>
      <c r="Q281" s="329">
        <v>0</v>
      </c>
      <c r="R281" s="329"/>
    </row>
    <row r="282" spans="1:18" ht="16.5" hidden="1" customHeight="1" x14ac:dyDescent="0.2">
      <c r="A282" s="136"/>
      <c r="B282" s="11"/>
      <c r="C282" s="138"/>
      <c r="D282" s="123" t="s">
        <v>14</v>
      </c>
      <c r="E282" s="89">
        <f>SUM(I282,N282)</f>
        <v>0</v>
      </c>
      <c r="F282" s="89"/>
      <c r="G282" s="329">
        <f>SUM(L282,Q282)</f>
        <v>0</v>
      </c>
      <c r="H282" s="329">
        <f>SUM(M282,R282)</f>
        <v>0</v>
      </c>
      <c r="I282" s="374"/>
      <c r="J282" s="391"/>
      <c r="K282" s="351"/>
      <c r="L282" s="361">
        <f>SUM(I282-J282+K282)</f>
        <v>0</v>
      </c>
      <c r="M282" s="431">
        <f>SUM(J282-K282+L282)</f>
        <v>0</v>
      </c>
      <c r="N282" s="374"/>
      <c r="O282" s="329"/>
      <c r="P282" s="329"/>
      <c r="Q282" s="329">
        <f t="shared" ref="Q282" si="148">SUM(N282-O282+P282)</f>
        <v>0</v>
      </c>
      <c r="R282" s="329"/>
    </row>
    <row r="283" spans="1:18" ht="15.75" hidden="1" customHeight="1" x14ac:dyDescent="0.2">
      <c r="A283" s="9"/>
      <c r="B283" s="9"/>
      <c r="D283" s="116" t="s">
        <v>14</v>
      </c>
      <c r="E283" s="18"/>
      <c r="F283" s="18"/>
      <c r="G283" s="329">
        <v>0</v>
      </c>
      <c r="H283" s="329">
        <v>1</v>
      </c>
      <c r="I283" s="244"/>
      <c r="J283" s="323"/>
      <c r="K283" s="323"/>
      <c r="L283" s="361">
        <v>0</v>
      </c>
      <c r="M283" s="431">
        <v>1</v>
      </c>
      <c r="N283" s="244"/>
      <c r="O283" s="329"/>
      <c r="P283" s="329"/>
      <c r="Q283" s="329">
        <v>0</v>
      </c>
      <c r="R283" s="329"/>
    </row>
    <row r="284" spans="1:18" ht="18.75" customHeight="1" x14ac:dyDescent="0.2">
      <c r="A284" s="136"/>
      <c r="B284" s="9">
        <v>85404</v>
      </c>
      <c r="C284" s="135" t="s">
        <v>79</v>
      </c>
      <c r="D284" s="134" t="s">
        <v>7</v>
      </c>
      <c r="E284" s="105">
        <f>SUM(E286:E287)</f>
        <v>7500000</v>
      </c>
      <c r="F284" s="105">
        <v>0</v>
      </c>
      <c r="G284" s="318">
        <f>SUM(G286:G287)</f>
        <v>8230930</v>
      </c>
      <c r="H284" s="318">
        <f>SUM(H286:H287)</f>
        <v>8194777.6400000006</v>
      </c>
      <c r="I284" s="244">
        <f t="shared" ref="I284:Q284" si="149">SUM(I286:I287)</f>
        <v>7500000</v>
      </c>
      <c r="J284" s="428">
        <f t="shared" si="149"/>
        <v>154700</v>
      </c>
      <c r="K284" s="205">
        <f t="shared" si="149"/>
        <v>885630</v>
      </c>
      <c r="L284" s="344">
        <f t="shared" si="149"/>
        <v>8230930</v>
      </c>
      <c r="M284" s="337">
        <f t="shared" ref="M284" si="150">SUM(M286:M287)</f>
        <v>8194777.6400000006</v>
      </c>
      <c r="N284" s="360">
        <f t="shared" si="149"/>
        <v>0</v>
      </c>
      <c r="O284" s="365">
        <f t="shared" si="149"/>
        <v>0</v>
      </c>
      <c r="P284" s="365">
        <f t="shared" si="149"/>
        <v>0</v>
      </c>
      <c r="Q284" s="365">
        <f t="shared" si="149"/>
        <v>0</v>
      </c>
      <c r="R284" s="329"/>
    </row>
    <row r="285" spans="1:18" ht="15.75" customHeight="1" x14ac:dyDescent="0.2">
      <c r="A285" s="136"/>
      <c r="B285" s="9"/>
      <c r="D285" s="130" t="s">
        <v>8</v>
      </c>
      <c r="E285" s="105"/>
      <c r="F285" s="105"/>
      <c r="G285" s="329"/>
      <c r="H285" s="376"/>
      <c r="I285" s="244"/>
      <c r="J285" s="428"/>
      <c r="K285" s="205"/>
      <c r="L285" s="361"/>
      <c r="M285" s="431"/>
      <c r="N285" s="360"/>
      <c r="O285" s="370"/>
      <c r="P285" s="370"/>
      <c r="Q285" s="370"/>
      <c r="R285" s="329"/>
    </row>
    <row r="286" spans="1:18" ht="15.75" customHeight="1" x14ac:dyDescent="0.2">
      <c r="A286" s="136"/>
      <c r="B286" s="9"/>
      <c r="D286" s="116" t="s">
        <v>11</v>
      </c>
      <c r="E286" s="105">
        <f>SUM(I286,N286)</f>
        <v>3050000</v>
      </c>
      <c r="F286" s="105"/>
      <c r="G286" s="329">
        <f>SUM(L286,Q286)</f>
        <v>3246110</v>
      </c>
      <c r="H286" s="376">
        <f>SUM(M286,R286)</f>
        <v>3230054.24</v>
      </c>
      <c r="I286" s="244">
        <v>3050000</v>
      </c>
      <c r="J286" s="428">
        <f>101000+11700</f>
        <v>112700</v>
      </c>
      <c r="K286" s="205">
        <f>7270+26060+10330+265150</f>
        <v>308810</v>
      </c>
      <c r="L286" s="361">
        <f>SUM(I286-J286+K286)</f>
        <v>3246110</v>
      </c>
      <c r="M286" s="431">
        <v>3230054.24</v>
      </c>
      <c r="N286" s="360"/>
      <c r="O286" s="370"/>
      <c r="P286" s="370"/>
      <c r="Q286" s="370">
        <f t="shared" ref="Q286:Q287" si="151">SUM(N286-O286+P286)</f>
        <v>0</v>
      </c>
      <c r="R286" s="329"/>
    </row>
    <row r="287" spans="1:18" ht="15.75" customHeight="1" x14ac:dyDescent="0.2">
      <c r="A287" s="136"/>
      <c r="B287" s="9"/>
      <c r="D287" s="123" t="s">
        <v>14</v>
      </c>
      <c r="E287" s="105">
        <f>SUM(I287,N287)</f>
        <v>4450000</v>
      </c>
      <c r="F287" s="105"/>
      <c r="G287" s="329">
        <f>SUM(L287,Q287)</f>
        <v>4984820</v>
      </c>
      <c r="H287" s="376">
        <f>SUM(M287,R287)</f>
        <v>4964723.4000000004</v>
      </c>
      <c r="I287" s="244">
        <v>4450000</v>
      </c>
      <c r="J287" s="428">
        <f>32000+10000</f>
        <v>42000</v>
      </c>
      <c r="K287" s="205">
        <f>8860+40000+48680+35590+44000+399690</f>
        <v>576820</v>
      </c>
      <c r="L287" s="361">
        <f>SUM(I287-J287+K287)</f>
        <v>4984820</v>
      </c>
      <c r="M287" s="431">
        <v>4964723.4000000004</v>
      </c>
      <c r="N287" s="360"/>
      <c r="O287" s="370"/>
      <c r="P287" s="370"/>
      <c r="Q287" s="370">
        <f t="shared" si="151"/>
        <v>0</v>
      </c>
      <c r="R287" s="329"/>
    </row>
    <row r="288" spans="1:18" ht="21" hidden="1" customHeight="1" x14ac:dyDescent="0.2">
      <c r="A288" s="136"/>
      <c r="B288" s="71">
        <v>85407</v>
      </c>
      <c r="C288" s="156" t="s">
        <v>64</v>
      </c>
      <c r="D288" s="115" t="s">
        <v>7</v>
      </c>
      <c r="E288" s="207">
        <f>SUM(E291)</f>
        <v>0</v>
      </c>
      <c r="F288" s="207">
        <v>0</v>
      </c>
      <c r="G288" s="318">
        <f>SUM(G291)</f>
        <v>0</v>
      </c>
      <c r="H288" s="382"/>
      <c r="I288" s="342">
        <f t="shared" ref="I288:Q288" si="152">SUM(I291)</f>
        <v>0</v>
      </c>
      <c r="J288" s="445">
        <f t="shared" si="152"/>
        <v>0</v>
      </c>
      <c r="K288" s="371">
        <f t="shared" si="152"/>
        <v>0</v>
      </c>
      <c r="L288" s="344">
        <f t="shared" si="152"/>
        <v>0</v>
      </c>
      <c r="M288" s="433"/>
      <c r="N288" s="334">
        <f t="shared" si="152"/>
        <v>0</v>
      </c>
      <c r="O288" s="365">
        <f t="shared" si="152"/>
        <v>0</v>
      </c>
      <c r="P288" s="365">
        <f t="shared" si="152"/>
        <v>0</v>
      </c>
      <c r="Q288" s="365">
        <f t="shared" si="152"/>
        <v>0</v>
      </c>
      <c r="R288" s="329"/>
    </row>
    <row r="289" spans="1:18" ht="16.5" hidden="1" customHeight="1" x14ac:dyDescent="0.2">
      <c r="A289" s="9"/>
      <c r="B289" s="9"/>
      <c r="D289" s="130" t="s">
        <v>8</v>
      </c>
      <c r="E289" s="18"/>
      <c r="F289" s="18"/>
      <c r="G289" s="329">
        <v>0</v>
      </c>
      <c r="H289" s="367"/>
      <c r="I289" s="244"/>
      <c r="J289" s="323"/>
      <c r="K289" s="329"/>
      <c r="L289" s="361">
        <v>0</v>
      </c>
      <c r="M289" s="431"/>
      <c r="N289" s="360"/>
      <c r="O289" s="370"/>
      <c r="P289" s="370"/>
      <c r="Q289" s="370">
        <v>0</v>
      </c>
      <c r="R289" s="329"/>
    </row>
    <row r="290" spans="1:18" ht="11.25" hidden="1" customHeight="1" x14ac:dyDescent="0.2">
      <c r="A290" s="136"/>
      <c r="B290" s="9"/>
      <c r="D290" s="116" t="s">
        <v>11</v>
      </c>
      <c r="E290" s="18"/>
      <c r="F290" s="18"/>
      <c r="G290" s="329">
        <v>0</v>
      </c>
      <c r="H290" s="367"/>
      <c r="I290" s="244"/>
      <c r="J290" s="323"/>
      <c r="K290" s="329"/>
      <c r="L290" s="361">
        <v>0</v>
      </c>
      <c r="M290" s="431"/>
      <c r="N290" s="360"/>
      <c r="O290" s="370"/>
      <c r="P290" s="370"/>
      <c r="Q290" s="370">
        <v>0</v>
      </c>
      <c r="R290" s="329"/>
    </row>
    <row r="291" spans="1:18" ht="18" hidden="1" customHeight="1" x14ac:dyDescent="0.2">
      <c r="A291" s="136"/>
      <c r="B291" s="11"/>
      <c r="C291" s="138"/>
      <c r="D291" s="123" t="s">
        <v>14</v>
      </c>
      <c r="E291" s="18">
        <f>SUM(I291,N291)</f>
        <v>0</v>
      </c>
      <c r="F291" s="18"/>
      <c r="G291" s="329">
        <f>SUM(L291,Q291)</f>
        <v>0</v>
      </c>
      <c r="H291" s="367"/>
      <c r="I291" s="244"/>
      <c r="J291" s="323"/>
      <c r="K291" s="329"/>
      <c r="L291" s="361">
        <f>SUM(I291-J291+K291)</f>
        <v>0</v>
      </c>
      <c r="M291" s="431"/>
      <c r="N291" s="360"/>
      <c r="O291" s="370"/>
      <c r="P291" s="370"/>
      <c r="Q291" s="370">
        <f>SUM(N291-O291+P291)</f>
        <v>0</v>
      </c>
      <c r="R291" s="329"/>
    </row>
    <row r="292" spans="1:18" ht="21" customHeight="1" x14ac:dyDescent="0.2">
      <c r="A292" s="9"/>
      <c r="B292" s="71">
        <v>85410</v>
      </c>
      <c r="C292" s="137" t="s">
        <v>65</v>
      </c>
      <c r="D292" s="115" t="s">
        <v>7</v>
      </c>
      <c r="E292" s="207">
        <f>SUM(E295)</f>
        <v>4900000</v>
      </c>
      <c r="F292" s="207">
        <v>0</v>
      </c>
      <c r="G292" s="318">
        <f>SUM(G295)</f>
        <v>5232174</v>
      </c>
      <c r="H292" s="318">
        <f>SUM(H295)</f>
        <v>5232064.83</v>
      </c>
      <c r="I292" s="342">
        <f t="shared" ref="I292:Q292" si="153">SUM(I295)</f>
        <v>4900000</v>
      </c>
      <c r="J292" s="371">
        <f t="shared" si="153"/>
        <v>900106</v>
      </c>
      <c r="K292" s="371">
        <f t="shared" si="153"/>
        <v>1232280</v>
      </c>
      <c r="L292" s="344">
        <f t="shared" si="153"/>
        <v>5232174</v>
      </c>
      <c r="M292" s="337">
        <f t="shared" si="153"/>
        <v>5232064.83</v>
      </c>
      <c r="N292" s="334">
        <f t="shared" si="153"/>
        <v>0</v>
      </c>
      <c r="O292" s="365">
        <f t="shared" si="153"/>
        <v>0</v>
      </c>
      <c r="P292" s="365">
        <f t="shared" si="153"/>
        <v>0</v>
      </c>
      <c r="Q292" s="365">
        <f t="shared" si="153"/>
        <v>0</v>
      </c>
      <c r="R292" s="318"/>
    </row>
    <row r="293" spans="1:18" ht="16.5" customHeight="1" x14ac:dyDescent="0.2">
      <c r="A293" s="9"/>
      <c r="B293" s="9"/>
      <c r="D293" s="130" t="s">
        <v>8</v>
      </c>
      <c r="E293" s="18"/>
      <c r="F293" s="18"/>
      <c r="G293" s="329"/>
      <c r="H293" s="367"/>
      <c r="I293" s="244"/>
      <c r="J293" s="329"/>
      <c r="K293" s="329"/>
      <c r="L293" s="361"/>
      <c r="M293" s="431"/>
      <c r="N293" s="360"/>
      <c r="O293" s="370"/>
      <c r="P293" s="370"/>
      <c r="Q293" s="370">
        <v>0</v>
      </c>
      <c r="R293" s="329"/>
    </row>
    <row r="294" spans="1:18" hidden="1" x14ac:dyDescent="0.2">
      <c r="A294" s="9"/>
      <c r="B294" s="9"/>
      <c r="D294" s="116" t="s">
        <v>11</v>
      </c>
      <c r="E294" s="18"/>
      <c r="F294" s="18"/>
      <c r="G294" s="329">
        <v>0</v>
      </c>
      <c r="H294" s="367"/>
      <c r="I294" s="244"/>
      <c r="J294" s="329"/>
      <c r="K294" s="329"/>
      <c r="L294" s="361">
        <v>0</v>
      </c>
      <c r="M294" s="431"/>
      <c r="N294" s="360"/>
      <c r="O294" s="370"/>
      <c r="P294" s="370"/>
      <c r="Q294" s="370">
        <v>0</v>
      </c>
      <c r="R294" s="329"/>
    </row>
    <row r="295" spans="1:18" ht="17.25" customHeight="1" x14ac:dyDescent="0.2">
      <c r="A295" s="9"/>
      <c r="B295" s="11"/>
      <c r="C295" s="138"/>
      <c r="D295" s="123" t="s">
        <v>14</v>
      </c>
      <c r="E295" s="18">
        <f>SUM(I295,N295)</f>
        <v>4900000</v>
      </c>
      <c r="F295" s="18"/>
      <c r="G295" s="329">
        <f>SUM(L295,Q295)</f>
        <v>5232174</v>
      </c>
      <c r="H295" s="367">
        <f>SUM(M295,R295)</f>
        <v>5232064.83</v>
      </c>
      <c r="I295" s="244">
        <v>4900000</v>
      </c>
      <c r="J295" s="329">
        <f>884906+15200</f>
        <v>900106</v>
      </c>
      <c r="K295" s="329">
        <f>21360+51490+250000+24420+468000+417010</f>
        <v>1232280</v>
      </c>
      <c r="L295" s="361">
        <f>SUM(I295-J295+K295)</f>
        <v>5232174</v>
      </c>
      <c r="M295" s="431">
        <v>5232064.83</v>
      </c>
      <c r="N295" s="360"/>
      <c r="O295" s="370"/>
      <c r="P295" s="370"/>
      <c r="Q295" s="370">
        <f>SUM(N295-O295+P295)</f>
        <v>0</v>
      </c>
      <c r="R295" s="329"/>
    </row>
    <row r="296" spans="1:18" ht="15" hidden="1" customHeight="1" x14ac:dyDescent="0.2">
      <c r="A296" s="9"/>
      <c r="B296" s="9">
        <v>85411</v>
      </c>
      <c r="C296" s="135" t="s">
        <v>66</v>
      </c>
      <c r="D296" s="134" t="s">
        <v>7</v>
      </c>
      <c r="E296" s="8"/>
      <c r="F296" s="8"/>
      <c r="G296" s="329">
        <v>0</v>
      </c>
      <c r="H296" s="446"/>
      <c r="I296" s="379"/>
      <c r="J296" s="338"/>
      <c r="K296" s="338"/>
      <c r="L296" s="361">
        <v>0</v>
      </c>
      <c r="M296" s="431"/>
      <c r="N296" s="381"/>
      <c r="O296" s="370"/>
      <c r="P296" s="370"/>
      <c r="Q296" s="370">
        <v>0</v>
      </c>
      <c r="R296" s="329"/>
    </row>
    <row r="297" spans="1:18" hidden="1" x14ac:dyDescent="0.2">
      <c r="A297" s="9"/>
      <c r="B297" s="9"/>
      <c r="D297" s="130" t="s">
        <v>8</v>
      </c>
      <c r="E297" s="18"/>
      <c r="F297" s="18"/>
      <c r="G297" s="329">
        <v>0</v>
      </c>
      <c r="H297" s="367"/>
      <c r="I297" s="244"/>
      <c r="J297" s="323"/>
      <c r="K297" s="323"/>
      <c r="L297" s="361">
        <v>0</v>
      </c>
      <c r="M297" s="431"/>
      <c r="N297" s="360"/>
      <c r="O297" s="370"/>
      <c r="P297" s="370"/>
      <c r="Q297" s="370">
        <v>0</v>
      </c>
      <c r="R297" s="329"/>
    </row>
    <row r="298" spans="1:18" ht="15.75" hidden="1" customHeight="1" x14ac:dyDescent="0.2">
      <c r="A298" s="9"/>
      <c r="B298" s="9"/>
      <c r="D298" s="116" t="s">
        <v>11</v>
      </c>
      <c r="E298" s="18"/>
      <c r="F298" s="18"/>
      <c r="G298" s="329">
        <v>0</v>
      </c>
      <c r="H298" s="367"/>
      <c r="I298" s="244"/>
      <c r="J298" s="323"/>
      <c r="K298" s="323"/>
      <c r="L298" s="361">
        <v>0</v>
      </c>
      <c r="M298" s="431"/>
      <c r="N298" s="360"/>
      <c r="O298" s="370"/>
      <c r="P298" s="370"/>
      <c r="Q298" s="370">
        <v>0</v>
      </c>
      <c r="R298" s="329"/>
    </row>
    <row r="299" spans="1:18" ht="15" hidden="1" customHeight="1" x14ac:dyDescent="0.2">
      <c r="A299" s="9"/>
      <c r="B299" s="11"/>
      <c r="C299" s="138"/>
      <c r="D299" s="123" t="s">
        <v>14</v>
      </c>
      <c r="E299" s="18"/>
      <c r="F299" s="18"/>
      <c r="G299" s="329">
        <v>0</v>
      </c>
      <c r="H299" s="367"/>
      <c r="I299" s="244"/>
      <c r="J299" s="323"/>
      <c r="K299" s="323"/>
      <c r="L299" s="361">
        <v>0</v>
      </c>
      <c r="M299" s="431"/>
      <c r="N299" s="360"/>
      <c r="O299" s="370"/>
      <c r="P299" s="370"/>
      <c r="Q299" s="370">
        <v>0</v>
      </c>
      <c r="R299" s="329"/>
    </row>
    <row r="300" spans="1:18" ht="23.25" hidden="1" customHeight="1" x14ac:dyDescent="0.2">
      <c r="A300" s="9"/>
      <c r="B300" s="9">
        <v>85412</v>
      </c>
      <c r="C300" s="135" t="s">
        <v>67</v>
      </c>
      <c r="D300" s="134" t="s">
        <v>7</v>
      </c>
      <c r="E300" s="207">
        <f>SUM(E302)</f>
        <v>0</v>
      </c>
      <c r="F300" s="207">
        <v>0</v>
      </c>
      <c r="G300" s="318">
        <f>SUM(G302)</f>
        <v>0</v>
      </c>
      <c r="H300" s="382"/>
      <c r="I300" s="342">
        <f t="shared" ref="I300:Q300" si="154">SUM(I302)</f>
        <v>0</v>
      </c>
      <c r="J300" s="445">
        <f t="shared" si="154"/>
        <v>0</v>
      </c>
      <c r="K300" s="445">
        <f t="shared" si="154"/>
        <v>0</v>
      </c>
      <c r="L300" s="344">
        <f t="shared" si="154"/>
        <v>0</v>
      </c>
      <c r="M300" s="433"/>
      <c r="N300" s="334">
        <f t="shared" si="154"/>
        <v>0</v>
      </c>
      <c r="O300" s="365">
        <f t="shared" si="154"/>
        <v>0</v>
      </c>
      <c r="P300" s="365">
        <f t="shared" si="154"/>
        <v>0</v>
      </c>
      <c r="Q300" s="365">
        <f t="shared" si="154"/>
        <v>0</v>
      </c>
      <c r="R300" s="329"/>
    </row>
    <row r="301" spans="1:18" ht="17.25" hidden="1" customHeight="1" x14ac:dyDescent="0.2">
      <c r="A301" s="9"/>
      <c r="B301" s="9"/>
      <c r="C301" s="135" t="s">
        <v>68</v>
      </c>
      <c r="D301" s="130" t="s">
        <v>8</v>
      </c>
      <c r="E301" s="18"/>
      <c r="F301" s="18"/>
      <c r="G301" s="329"/>
      <c r="H301" s="367"/>
      <c r="I301" s="244"/>
      <c r="J301" s="323"/>
      <c r="K301" s="323"/>
      <c r="L301" s="361"/>
      <c r="M301" s="431"/>
      <c r="N301" s="360"/>
      <c r="O301" s="370"/>
      <c r="P301" s="370"/>
      <c r="Q301" s="370"/>
      <c r="R301" s="329"/>
    </row>
    <row r="302" spans="1:18" ht="19.5" hidden="1" customHeight="1" x14ac:dyDescent="0.2">
      <c r="A302" s="9"/>
      <c r="B302" s="11"/>
      <c r="C302" s="138"/>
      <c r="D302" s="123" t="s">
        <v>11</v>
      </c>
      <c r="E302" s="89">
        <f>SUM(I302,N302)</f>
        <v>0</v>
      </c>
      <c r="F302" s="89"/>
      <c r="G302" s="329">
        <f>SUM(L302,Q302)</f>
        <v>0</v>
      </c>
      <c r="H302" s="373"/>
      <c r="I302" s="374"/>
      <c r="J302" s="391"/>
      <c r="K302" s="391"/>
      <c r="L302" s="361">
        <f>SUM(I302-J302+K302)</f>
        <v>0</v>
      </c>
      <c r="M302" s="431"/>
      <c r="N302" s="360"/>
      <c r="O302" s="370"/>
      <c r="P302" s="370"/>
      <c r="Q302" s="370">
        <f>SUM(N302-O302+P302)</f>
        <v>0</v>
      </c>
      <c r="R302" s="329"/>
    </row>
    <row r="303" spans="1:18" ht="19.5" customHeight="1" x14ac:dyDescent="0.2">
      <c r="A303" s="9"/>
      <c r="B303" s="9">
        <v>85419</v>
      </c>
      <c r="C303" s="135" t="s">
        <v>126</v>
      </c>
      <c r="D303" s="134" t="s">
        <v>7</v>
      </c>
      <c r="E303" s="8">
        <f>SUM(E305)</f>
        <v>650000</v>
      </c>
      <c r="F303" s="8"/>
      <c r="G303" s="318">
        <f>SUM(G305)</f>
        <v>1172560</v>
      </c>
      <c r="H303" s="318">
        <f>SUM(H305)</f>
        <v>1164519.99</v>
      </c>
      <c r="I303" s="379">
        <f>SUM(I305)</f>
        <v>650000</v>
      </c>
      <c r="J303" s="329">
        <f>SUM(J305)</f>
        <v>72430</v>
      </c>
      <c r="K303" s="329">
        <f>SUM(K305)</f>
        <v>594990</v>
      </c>
      <c r="L303" s="344">
        <f t="shared" ref="L303:M303" si="155">SUM(L305)</f>
        <v>1172560</v>
      </c>
      <c r="M303" s="337">
        <f t="shared" si="155"/>
        <v>1164519.99</v>
      </c>
      <c r="N303" s="381"/>
      <c r="O303" s="365"/>
      <c r="P303" s="365"/>
      <c r="Q303" s="365">
        <f t="shared" ref="Q303" si="156">SUM(Q305)</f>
        <v>0</v>
      </c>
      <c r="R303" s="318"/>
    </row>
    <row r="304" spans="1:18" ht="12.75" customHeight="1" x14ac:dyDescent="0.2">
      <c r="A304" s="136"/>
      <c r="B304" s="9"/>
      <c r="D304" s="130" t="s">
        <v>8</v>
      </c>
      <c r="E304" s="18"/>
      <c r="F304" s="18"/>
      <c r="G304" s="329"/>
      <c r="H304" s="367"/>
      <c r="I304" s="244"/>
      <c r="J304" s="323"/>
      <c r="K304" s="329"/>
      <c r="L304" s="361"/>
      <c r="M304" s="431"/>
      <c r="N304" s="360"/>
      <c r="O304" s="370"/>
      <c r="P304" s="370"/>
      <c r="Q304" s="370"/>
      <c r="R304" s="329"/>
    </row>
    <row r="305" spans="1:18" ht="18" customHeight="1" x14ac:dyDescent="0.2">
      <c r="A305" s="136"/>
      <c r="B305" s="9"/>
      <c r="D305" s="116" t="s">
        <v>14</v>
      </c>
      <c r="E305" s="18">
        <f>SUM(I305,N305)</f>
        <v>650000</v>
      </c>
      <c r="F305" s="18"/>
      <c r="G305" s="351">
        <f>SUM(L305,Q305)</f>
        <v>1172560</v>
      </c>
      <c r="H305" s="367">
        <f>SUM(M305,R305)</f>
        <v>1164519.99</v>
      </c>
      <c r="I305" s="244">
        <v>650000</v>
      </c>
      <c r="J305" s="329">
        <f>68000+4430</f>
        <v>72430</v>
      </c>
      <c r="K305" s="329">
        <f>30060+190000+112090+147000+38280+77560</f>
        <v>594990</v>
      </c>
      <c r="L305" s="206">
        <f>SUM(I305-J305+K305)</f>
        <v>1172560</v>
      </c>
      <c r="M305" s="247">
        <v>1164519.99</v>
      </c>
      <c r="N305" s="387"/>
      <c r="O305" s="389"/>
      <c r="P305" s="389"/>
      <c r="Q305" s="389">
        <f>SUM(N305-O305+P305)</f>
        <v>0</v>
      </c>
      <c r="R305" s="329"/>
    </row>
    <row r="306" spans="1:18" ht="20.25" customHeight="1" x14ac:dyDescent="0.2">
      <c r="A306" s="136"/>
      <c r="B306" s="71">
        <v>85420</v>
      </c>
      <c r="C306" s="137" t="s">
        <v>69</v>
      </c>
      <c r="D306" s="115" t="s">
        <v>7</v>
      </c>
      <c r="E306" s="207">
        <f>SUM(E308)</f>
        <v>5400000</v>
      </c>
      <c r="F306" s="207">
        <v>0</v>
      </c>
      <c r="G306" s="318">
        <f>SUM(G308)</f>
        <v>4234160</v>
      </c>
      <c r="H306" s="318">
        <f>SUM(H308)</f>
        <v>4224155.32</v>
      </c>
      <c r="I306" s="342">
        <f t="shared" ref="I306:Q306" si="157">SUM(I308)</f>
        <v>5400000</v>
      </c>
      <c r="J306" s="371">
        <f t="shared" si="157"/>
        <v>1566850</v>
      </c>
      <c r="K306" s="371">
        <f t="shared" si="157"/>
        <v>401010</v>
      </c>
      <c r="L306" s="344">
        <f t="shared" si="157"/>
        <v>4234160</v>
      </c>
      <c r="M306" s="337">
        <f t="shared" si="157"/>
        <v>4224155.32</v>
      </c>
      <c r="N306" s="334">
        <f t="shared" si="157"/>
        <v>0</v>
      </c>
      <c r="O306" s="365">
        <f t="shared" si="157"/>
        <v>0</v>
      </c>
      <c r="P306" s="365">
        <f t="shared" si="157"/>
        <v>0</v>
      </c>
      <c r="Q306" s="365">
        <f t="shared" si="157"/>
        <v>0</v>
      </c>
      <c r="R306" s="318"/>
    </row>
    <row r="307" spans="1:18" ht="19.5" customHeight="1" x14ac:dyDescent="0.2">
      <c r="A307" s="9"/>
      <c r="B307" s="9"/>
      <c r="D307" s="130" t="s">
        <v>8</v>
      </c>
      <c r="E307" s="18"/>
      <c r="F307" s="18"/>
      <c r="G307" s="329"/>
      <c r="H307" s="367"/>
      <c r="I307" s="244"/>
      <c r="J307" s="329"/>
      <c r="K307" s="329"/>
      <c r="L307" s="361"/>
      <c r="M307" s="431"/>
      <c r="N307" s="360"/>
      <c r="O307" s="370"/>
      <c r="P307" s="370"/>
      <c r="Q307" s="370"/>
      <c r="R307" s="329"/>
    </row>
    <row r="308" spans="1:18" ht="18.75" customHeight="1" x14ac:dyDescent="0.2">
      <c r="A308" s="136"/>
      <c r="B308" s="11"/>
      <c r="C308" s="138"/>
      <c r="D308" s="123" t="s">
        <v>14</v>
      </c>
      <c r="E308" s="89">
        <f>SUM(I308,N308)</f>
        <v>5400000</v>
      </c>
      <c r="F308" s="89"/>
      <c r="G308" s="329">
        <f>SUM(L308,Q308)</f>
        <v>4234160</v>
      </c>
      <c r="H308" s="373">
        <f>SUM(M308,R308)</f>
        <v>4224155.32</v>
      </c>
      <c r="I308" s="374">
        <v>5400000</v>
      </c>
      <c r="J308" s="351">
        <f>1000000+230000+32600+299000+5250</f>
        <v>1566850</v>
      </c>
      <c r="K308" s="351">
        <f>32000+329010+40000</f>
        <v>401010</v>
      </c>
      <c r="L308" s="361">
        <f>SUM(I308-J308+K308)</f>
        <v>4234160</v>
      </c>
      <c r="M308" s="431">
        <v>4224155.32</v>
      </c>
      <c r="N308" s="360"/>
      <c r="O308" s="370"/>
      <c r="P308" s="370"/>
      <c r="Q308" s="370">
        <v>0</v>
      </c>
      <c r="R308" s="329"/>
    </row>
    <row r="309" spans="1:18" ht="18.75" customHeight="1" x14ac:dyDescent="0.2">
      <c r="A309" s="136"/>
      <c r="B309" s="9">
        <v>85495</v>
      </c>
      <c r="C309" s="135" t="s">
        <v>13</v>
      </c>
      <c r="D309" s="134" t="s">
        <v>7</v>
      </c>
      <c r="E309" s="22"/>
      <c r="F309" s="22"/>
      <c r="G309" s="318">
        <f>SUM(G311)</f>
        <v>114410.94999999995</v>
      </c>
      <c r="H309" s="318">
        <f>SUM(H311)</f>
        <v>114216.95</v>
      </c>
      <c r="I309" s="331"/>
      <c r="J309" s="403"/>
      <c r="K309" s="403"/>
      <c r="L309" s="336"/>
      <c r="M309" s="433"/>
      <c r="N309" s="334">
        <f>SUM(N311)</f>
        <v>0</v>
      </c>
      <c r="O309" s="338">
        <f t="shared" ref="O309:R309" si="158">SUM(O311)</f>
        <v>421530</v>
      </c>
      <c r="P309" s="338">
        <f t="shared" si="158"/>
        <v>535940.94999999995</v>
      </c>
      <c r="Q309" s="318">
        <f t="shared" si="158"/>
        <v>114410.94999999995</v>
      </c>
      <c r="R309" s="318">
        <f t="shared" si="158"/>
        <v>114216.95</v>
      </c>
    </row>
    <row r="310" spans="1:18" ht="17.25" customHeight="1" x14ac:dyDescent="0.2">
      <c r="A310" s="9"/>
      <c r="B310" s="9"/>
      <c r="D310" s="130" t="s">
        <v>8</v>
      </c>
      <c r="E310" s="18"/>
      <c r="F310" s="18"/>
      <c r="G310" s="329"/>
      <c r="H310" s="367"/>
      <c r="I310" s="360"/>
      <c r="J310" s="369"/>
      <c r="K310" s="369"/>
      <c r="L310" s="370"/>
      <c r="M310" s="368"/>
      <c r="N310" s="244"/>
      <c r="O310" s="323"/>
      <c r="P310" s="323"/>
      <c r="Q310" s="329"/>
      <c r="R310" s="329"/>
    </row>
    <row r="311" spans="1:18" ht="19.5" customHeight="1" thickBot="1" x14ac:dyDescent="0.25">
      <c r="A311" s="136"/>
      <c r="B311" s="9"/>
      <c r="D311" s="116" t="s">
        <v>14</v>
      </c>
      <c r="E311" s="18"/>
      <c r="F311" s="18"/>
      <c r="G311" s="329">
        <f>SUM(L311,Q311)</f>
        <v>114410.94999999995</v>
      </c>
      <c r="H311" s="367">
        <f>SUM(M311,R311)</f>
        <v>114216.95</v>
      </c>
      <c r="I311" s="360"/>
      <c r="J311" s="369"/>
      <c r="K311" s="369"/>
      <c r="L311" s="370"/>
      <c r="M311" s="368"/>
      <c r="N311" s="244"/>
      <c r="O311" s="323">
        <f>285590+135940</f>
        <v>421530</v>
      </c>
      <c r="P311" s="323">
        <f>400000+135940.95</f>
        <v>535940.94999999995</v>
      </c>
      <c r="Q311" s="329">
        <f>SUM(N311-O311+P311)</f>
        <v>114410.94999999995</v>
      </c>
      <c r="R311" s="329">
        <v>114216.95</v>
      </c>
    </row>
    <row r="312" spans="1:18" ht="17.100000000000001" customHeight="1" x14ac:dyDescent="0.2">
      <c r="A312" s="150">
        <v>855</v>
      </c>
      <c r="B312" s="154"/>
      <c r="C312" s="151" t="s">
        <v>99</v>
      </c>
      <c r="D312" s="157" t="s">
        <v>7</v>
      </c>
      <c r="E312" s="84">
        <f>SUM(E314:E315)</f>
        <v>46702641</v>
      </c>
      <c r="F312" s="84"/>
      <c r="G312" s="345">
        <f>SUM(G314:G315)</f>
        <v>81160384.629999995</v>
      </c>
      <c r="H312" s="345">
        <f>SUM(H314:H315)</f>
        <v>79182436.570000008</v>
      </c>
      <c r="I312" s="447">
        <f t="shared" ref="I312:Q312" si="159">SUM(I314:I315)</f>
        <v>0</v>
      </c>
      <c r="J312" s="448">
        <f t="shared" si="159"/>
        <v>0</v>
      </c>
      <c r="K312" s="448">
        <f t="shared" si="159"/>
        <v>0</v>
      </c>
      <c r="L312" s="449">
        <f t="shared" si="159"/>
        <v>0</v>
      </c>
      <c r="M312" s="354"/>
      <c r="N312" s="355">
        <f t="shared" si="159"/>
        <v>46702641</v>
      </c>
      <c r="O312" s="345">
        <f t="shared" si="159"/>
        <v>3171256</v>
      </c>
      <c r="P312" s="345">
        <f t="shared" si="159"/>
        <v>37628999.630000003</v>
      </c>
      <c r="Q312" s="345">
        <f t="shared" si="159"/>
        <v>81160384.629999995</v>
      </c>
      <c r="R312" s="345">
        <f t="shared" ref="R312" si="160">SUM(R314:R315)</f>
        <v>79182436.570000008</v>
      </c>
    </row>
    <row r="313" spans="1:18" ht="17.100000000000001" customHeight="1" x14ac:dyDescent="0.2">
      <c r="A313" s="136"/>
      <c r="B313" s="9"/>
      <c r="D313" s="116" t="s">
        <v>8</v>
      </c>
      <c r="E313" s="18"/>
      <c r="F313" s="18"/>
      <c r="G313" s="329"/>
      <c r="H313" s="329"/>
      <c r="I313" s="360"/>
      <c r="J313" s="369"/>
      <c r="K313" s="369"/>
      <c r="L313" s="370"/>
      <c r="M313" s="368"/>
      <c r="N313" s="244"/>
      <c r="O313" s="329"/>
      <c r="P313" s="329"/>
      <c r="Q313" s="329"/>
      <c r="R313" s="329"/>
    </row>
    <row r="314" spans="1:18" ht="17.100000000000001" customHeight="1" x14ac:dyDescent="0.2">
      <c r="A314" s="136"/>
      <c r="B314" s="9"/>
      <c r="D314" s="116" t="s">
        <v>11</v>
      </c>
      <c r="E314" s="18">
        <f>SUM(E318,E321,E324,E327,E337,E330,E334)</f>
        <v>37129041</v>
      </c>
      <c r="F314" s="18">
        <f t="shared" ref="F314" si="161">SUM(F318,F321,F324,F327,F337)</f>
        <v>0</v>
      </c>
      <c r="G314" s="329">
        <f>SUM(G318,G321,G324,G327,G337,G330,G334)</f>
        <v>70174042</v>
      </c>
      <c r="H314" s="329">
        <f>SUM(H318,H321,H324,H327,H337,H330,H334)</f>
        <v>68203838.950000003</v>
      </c>
      <c r="I314" s="360">
        <f t="shared" ref="I314:Q314" si="162">SUM(I318,I321,I324,I327,I337,I330,I334)</f>
        <v>0</v>
      </c>
      <c r="J314" s="369">
        <f t="shared" si="162"/>
        <v>0</v>
      </c>
      <c r="K314" s="369">
        <f t="shared" si="162"/>
        <v>0</v>
      </c>
      <c r="L314" s="370">
        <f t="shared" si="162"/>
        <v>0</v>
      </c>
      <c r="M314" s="368"/>
      <c r="N314" s="244">
        <f t="shared" si="162"/>
        <v>37129041</v>
      </c>
      <c r="O314" s="329">
        <f t="shared" si="162"/>
        <v>2831390</v>
      </c>
      <c r="P314" s="329">
        <f t="shared" si="162"/>
        <v>35876391</v>
      </c>
      <c r="Q314" s="329">
        <f t="shared" si="162"/>
        <v>70174042</v>
      </c>
      <c r="R314" s="329">
        <f t="shared" ref="R314" si="163">SUM(R318,R321,R324,R327,R337,R330,R334)</f>
        <v>68203838.950000003</v>
      </c>
    </row>
    <row r="315" spans="1:18" ht="17.100000000000001" customHeight="1" x14ac:dyDescent="0.2">
      <c r="A315" s="136"/>
      <c r="B315" s="9"/>
      <c r="D315" s="116" t="s">
        <v>14</v>
      </c>
      <c r="E315" s="18">
        <f>SUM(E331)</f>
        <v>9573600</v>
      </c>
      <c r="F315" s="18"/>
      <c r="G315" s="329">
        <f>SUM(G331)</f>
        <v>10986342.629999999</v>
      </c>
      <c r="H315" s="329">
        <f>SUM(H331)</f>
        <v>10978597.619999999</v>
      </c>
      <c r="I315" s="360">
        <f t="shared" ref="I315:Q315" si="164">SUM(I331)</f>
        <v>0</v>
      </c>
      <c r="J315" s="369">
        <f t="shared" si="164"/>
        <v>0</v>
      </c>
      <c r="K315" s="369">
        <f t="shared" si="164"/>
        <v>0</v>
      </c>
      <c r="L315" s="370">
        <f t="shared" si="164"/>
        <v>0</v>
      </c>
      <c r="M315" s="368"/>
      <c r="N315" s="244">
        <f t="shared" si="164"/>
        <v>9573600</v>
      </c>
      <c r="O315" s="329">
        <f t="shared" si="164"/>
        <v>339866</v>
      </c>
      <c r="P315" s="329">
        <f t="shared" si="164"/>
        <v>1752608.63</v>
      </c>
      <c r="Q315" s="329">
        <f t="shared" si="164"/>
        <v>10986342.629999999</v>
      </c>
      <c r="R315" s="329">
        <f t="shared" ref="R315" si="165">SUM(R331)</f>
        <v>10978597.619999999</v>
      </c>
    </row>
    <row r="316" spans="1:18" ht="17.100000000000001" hidden="1" customHeight="1" x14ac:dyDescent="0.2">
      <c r="A316" s="136"/>
      <c r="B316" s="71">
        <v>85504</v>
      </c>
      <c r="C316" s="137" t="s">
        <v>88</v>
      </c>
      <c r="D316" s="146" t="s">
        <v>7</v>
      </c>
      <c r="E316" s="8">
        <f>SUM(E318)</f>
        <v>0</v>
      </c>
      <c r="F316" s="8"/>
      <c r="G316" s="318">
        <f>SUM(G318)</f>
        <v>0</v>
      </c>
      <c r="H316" s="318">
        <f>SUM(H318)</f>
        <v>0</v>
      </c>
      <c r="I316" s="381">
        <f t="shared" ref="I316:Q316" si="166">SUM(I318)</f>
        <v>0</v>
      </c>
      <c r="J316" s="375">
        <f t="shared" si="166"/>
        <v>0</v>
      </c>
      <c r="K316" s="375">
        <f t="shared" si="166"/>
        <v>0</v>
      </c>
      <c r="L316" s="365">
        <f t="shared" si="166"/>
        <v>0</v>
      </c>
      <c r="M316" s="362"/>
      <c r="N316" s="379">
        <f t="shared" si="166"/>
        <v>0</v>
      </c>
      <c r="O316" s="318">
        <f t="shared" si="166"/>
        <v>0</v>
      </c>
      <c r="P316" s="318">
        <f t="shared" si="166"/>
        <v>0</v>
      </c>
      <c r="Q316" s="318">
        <f t="shared" si="166"/>
        <v>0</v>
      </c>
      <c r="R316" s="318">
        <f t="shared" ref="R316" si="167">SUM(R318)</f>
        <v>0</v>
      </c>
    </row>
    <row r="317" spans="1:18" ht="17.100000000000001" hidden="1" customHeight="1" x14ac:dyDescent="0.2">
      <c r="A317" s="136"/>
      <c r="B317" s="9"/>
      <c r="D317" s="116" t="s">
        <v>8</v>
      </c>
      <c r="E317" s="18"/>
      <c r="F317" s="18"/>
      <c r="G317" s="329"/>
      <c r="H317" s="329"/>
      <c r="I317" s="360"/>
      <c r="J317" s="369"/>
      <c r="K317" s="369"/>
      <c r="L317" s="370"/>
      <c r="M317" s="368"/>
      <c r="N317" s="244"/>
      <c r="O317" s="329"/>
      <c r="P317" s="329"/>
      <c r="Q317" s="329"/>
      <c r="R317" s="329"/>
    </row>
    <row r="318" spans="1:18" ht="17.100000000000001" hidden="1" customHeight="1" x14ac:dyDescent="0.2">
      <c r="A318" s="136"/>
      <c r="B318" s="9"/>
      <c r="D318" s="116" t="s">
        <v>11</v>
      </c>
      <c r="E318" s="18">
        <f>SUM(I318,N318)</f>
        <v>0</v>
      </c>
      <c r="F318" s="18"/>
      <c r="G318" s="329">
        <f>SUM(L318,Q318)</f>
        <v>0</v>
      </c>
      <c r="H318" s="329">
        <f>SUM(M318,R318)</f>
        <v>0</v>
      </c>
      <c r="I318" s="360"/>
      <c r="J318" s="369"/>
      <c r="K318" s="369"/>
      <c r="L318" s="370">
        <f>SUM(I318-J318+K318)</f>
        <v>0</v>
      </c>
      <c r="M318" s="368"/>
      <c r="N318" s="244"/>
      <c r="O318" s="329"/>
      <c r="P318" s="329"/>
      <c r="Q318" s="329">
        <f>SUM(N318-O318+P318)</f>
        <v>0</v>
      </c>
      <c r="R318" s="329">
        <f>SUM(O318-P318+Q318)</f>
        <v>0</v>
      </c>
    </row>
    <row r="319" spans="1:18" ht="17.100000000000001" hidden="1" customHeight="1" x14ac:dyDescent="0.2">
      <c r="A319" s="136"/>
      <c r="B319" s="71">
        <v>85505</v>
      </c>
      <c r="C319" s="137" t="s">
        <v>100</v>
      </c>
      <c r="D319" s="146" t="s">
        <v>7</v>
      </c>
      <c r="E319" s="8">
        <f>SUM(E321)</f>
        <v>0</v>
      </c>
      <c r="F319" s="8"/>
      <c r="G319" s="318">
        <f>SUM(G321)</f>
        <v>0</v>
      </c>
      <c r="H319" s="318">
        <f>SUM(H321)</f>
        <v>0</v>
      </c>
      <c r="I319" s="381">
        <f t="shared" ref="I319:Q319" si="168">SUM(I321)</f>
        <v>0</v>
      </c>
      <c r="J319" s="375">
        <f t="shared" si="168"/>
        <v>0</v>
      </c>
      <c r="K319" s="375">
        <f t="shared" si="168"/>
        <v>0</v>
      </c>
      <c r="L319" s="365">
        <f t="shared" si="168"/>
        <v>0</v>
      </c>
      <c r="M319" s="362"/>
      <c r="N319" s="379">
        <f t="shared" si="168"/>
        <v>0</v>
      </c>
      <c r="O319" s="318">
        <f t="shared" si="168"/>
        <v>0</v>
      </c>
      <c r="P319" s="318">
        <f t="shared" si="168"/>
        <v>0</v>
      </c>
      <c r="Q319" s="318">
        <f t="shared" si="168"/>
        <v>0</v>
      </c>
      <c r="R319" s="318">
        <f t="shared" ref="R319" si="169">SUM(R321)</f>
        <v>0</v>
      </c>
    </row>
    <row r="320" spans="1:18" ht="17.100000000000001" hidden="1" customHeight="1" x14ac:dyDescent="0.2">
      <c r="A320" s="136"/>
      <c r="B320" s="9"/>
      <c r="D320" s="116" t="s">
        <v>8</v>
      </c>
      <c r="E320" s="18"/>
      <c r="F320" s="18"/>
      <c r="G320" s="329"/>
      <c r="H320" s="329"/>
      <c r="I320" s="360"/>
      <c r="J320" s="369"/>
      <c r="K320" s="369"/>
      <c r="L320" s="370"/>
      <c r="M320" s="368"/>
      <c r="N320" s="244"/>
      <c r="O320" s="329"/>
      <c r="P320" s="329"/>
      <c r="Q320" s="329"/>
      <c r="R320" s="329"/>
    </row>
    <row r="321" spans="1:18" ht="17.100000000000001" hidden="1" customHeight="1" x14ac:dyDescent="0.2">
      <c r="A321" s="136"/>
      <c r="B321" s="9"/>
      <c r="D321" s="116" t="s">
        <v>11</v>
      </c>
      <c r="E321" s="18">
        <f>SUM(I321,N321)</f>
        <v>0</v>
      </c>
      <c r="F321" s="18"/>
      <c r="G321" s="329">
        <f>SUM(L321,Q321)</f>
        <v>0</v>
      </c>
      <c r="H321" s="329">
        <f>SUM(M321,R321)</f>
        <v>0</v>
      </c>
      <c r="I321" s="360"/>
      <c r="J321" s="369"/>
      <c r="K321" s="369"/>
      <c r="L321" s="370">
        <f>SUM(I321-J321+K321)</f>
        <v>0</v>
      </c>
      <c r="M321" s="368"/>
      <c r="N321" s="450"/>
      <c r="O321" s="329"/>
      <c r="P321" s="329"/>
      <c r="Q321" s="329">
        <f>SUM(N321-O321+P321)</f>
        <v>0</v>
      </c>
      <c r="R321" s="329">
        <f>SUM(O321-P321+Q321)</f>
        <v>0</v>
      </c>
    </row>
    <row r="322" spans="1:18" ht="17.100000000000001" hidden="1" customHeight="1" x14ac:dyDescent="0.2">
      <c r="A322" s="136"/>
      <c r="B322" s="71">
        <v>85506</v>
      </c>
      <c r="C322" s="137" t="s">
        <v>102</v>
      </c>
      <c r="D322" s="146" t="s">
        <v>7</v>
      </c>
      <c r="E322" s="8">
        <f>SUM(E324)</f>
        <v>0</v>
      </c>
      <c r="F322" s="8"/>
      <c r="G322" s="318">
        <f>SUM(G324)</f>
        <v>0</v>
      </c>
      <c r="H322" s="318">
        <f>SUM(H324)</f>
        <v>0</v>
      </c>
      <c r="I322" s="381"/>
      <c r="J322" s="375"/>
      <c r="K322" s="375"/>
      <c r="L322" s="365"/>
      <c r="M322" s="362"/>
      <c r="N322" s="379">
        <f>SUM(N324)</f>
        <v>0</v>
      </c>
      <c r="O322" s="318">
        <f t="shared" ref="O322:Q322" si="170">SUM(O324)</f>
        <v>0</v>
      </c>
      <c r="P322" s="318">
        <f t="shared" si="170"/>
        <v>0</v>
      </c>
      <c r="Q322" s="318">
        <f t="shared" si="170"/>
        <v>0</v>
      </c>
      <c r="R322" s="318">
        <f t="shared" ref="R322" si="171">SUM(R324)</f>
        <v>0</v>
      </c>
    </row>
    <row r="323" spans="1:18" ht="17.100000000000001" hidden="1" customHeight="1" x14ac:dyDescent="0.2">
      <c r="A323" s="136"/>
      <c r="B323" s="9"/>
      <c r="D323" s="116" t="s">
        <v>8</v>
      </c>
      <c r="E323" s="18"/>
      <c r="F323" s="18"/>
      <c r="G323" s="329"/>
      <c r="H323" s="329"/>
      <c r="I323" s="360"/>
      <c r="J323" s="369"/>
      <c r="K323" s="369"/>
      <c r="L323" s="370"/>
      <c r="M323" s="368"/>
      <c r="N323" s="244"/>
      <c r="O323" s="329"/>
      <c r="P323" s="329"/>
      <c r="Q323" s="329"/>
      <c r="R323" s="329"/>
    </row>
    <row r="324" spans="1:18" ht="17.100000000000001" hidden="1" customHeight="1" x14ac:dyDescent="0.2">
      <c r="A324" s="136"/>
      <c r="B324" s="9"/>
      <c r="D324" s="116" t="s">
        <v>11</v>
      </c>
      <c r="E324" s="18">
        <f>SUM(I324,N324)</f>
        <v>0</v>
      </c>
      <c r="F324" s="18"/>
      <c r="G324" s="329">
        <f>SUM(L324,Q324)</f>
        <v>0</v>
      </c>
      <c r="H324" s="329">
        <f>SUM(M324,R324)</f>
        <v>0</v>
      </c>
      <c r="I324" s="360"/>
      <c r="J324" s="369"/>
      <c r="K324" s="369"/>
      <c r="L324" s="370"/>
      <c r="M324" s="368"/>
      <c r="N324" s="244"/>
      <c r="O324" s="329"/>
      <c r="P324" s="329"/>
      <c r="Q324" s="329">
        <f>SUM(N324-O324+P324)</f>
        <v>0</v>
      </c>
      <c r="R324" s="329">
        <f>SUM(O324-P324+Q324)</f>
        <v>0</v>
      </c>
    </row>
    <row r="325" spans="1:18" ht="17.100000000000001" hidden="1" customHeight="1" x14ac:dyDescent="0.2">
      <c r="A325" s="136"/>
      <c r="B325" s="71">
        <v>85507</v>
      </c>
      <c r="C325" s="137" t="s">
        <v>90</v>
      </c>
      <c r="D325" s="146" t="s">
        <v>7</v>
      </c>
      <c r="E325" s="8">
        <f>SUM(E327)</f>
        <v>0</v>
      </c>
      <c r="F325" s="8"/>
      <c r="G325" s="318">
        <f>SUM(G327)</f>
        <v>0</v>
      </c>
      <c r="H325" s="318">
        <f>SUM(H327)</f>
        <v>0</v>
      </c>
      <c r="I325" s="381"/>
      <c r="J325" s="375"/>
      <c r="K325" s="375"/>
      <c r="L325" s="365"/>
      <c r="M325" s="362"/>
      <c r="N325" s="379">
        <f>SUM(N327)</f>
        <v>0</v>
      </c>
      <c r="O325" s="318">
        <f t="shared" ref="O325:Q325" si="172">SUM(O327)</f>
        <v>0</v>
      </c>
      <c r="P325" s="318">
        <f t="shared" si="172"/>
        <v>0</v>
      </c>
      <c r="Q325" s="318">
        <f t="shared" si="172"/>
        <v>0</v>
      </c>
      <c r="R325" s="318">
        <f t="shared" ref="R325" si="173">SUM(R327)</f>
        <v>0</v>
      </c>
    </row>
    <row r="326" spans="1:18" ht="17.100000000000001" hidden="1" customHeight="1" x14ac:dyDescent="0.2">
      <c r="A326" s="136"/>
      <c r="B326" s="9"/>
      <c r="D326" s="116" t="s">
        <v>8</v>
      </c>
      <c r="E326" s="18"/>
      <c r="F326" s="18"/>
      <c r="G326" s="329"/>
      <c r="H326" s="329"/>
      <c r="I326" s="360"/>
      <c r="J326" s="369"/>
      <c r="K326" s="369"/>
      <c r="L326" s="370"/>
      <c r="M326" s="368"/>
      <c r="N326" s="244"/>
      <c r="O326" s="329"/>
      <c r="P326" s="329"/>
      <c r="Q326" s="329"/>
      <c r="R326" s="329"/>
    </row>
    <row r="327" spans="1:18" ht="17.100000000000001" hidden="1" customHeight="1" x14ac:dyDescent="0.2">
      <c r="A327" s="136"/>
      <c r="B327" s="9"/>
      <c r="D327" s="116" t="s">
        <v>11</v>
      </c>
      <c r="E327" s="18">
        <f>SUM(I327,N327)</f>
        <v>0</v>
      </c>
      <c r="F327" s="18"/>
      <c r="G327" s="329">
        <f>SUM(L327,Q327)</f>
        <v>0</v>
      </c>
      <c r="H327" s="329">
        <f>SUM(M327,R327)</f>
        <v>0</v>
      </c>
      <c r="I327" s="360"/>
      <c r="J327" s="369"/>
      <c r="K327" s="369"/>
      <c r="L327" s="370"/>
      <c r="M327" s="368"/>
      <c r="N327" s="244"/>
      <c r="O327" s="329"/>
      <c r="P327" s="329"/>
      <c r="Q327" s="329">
        <f>SUM(N327-O327+P327)</f>
        <v>0</v>
      </c>
      <c r="R327" s="329">
        <f>SUM(O327-P327+Q327)</f>
        <v>0</v>
      </c>
    </row>
    <row r="328" spans="1:18" ht="17.100000000000001" customHeight="1" x14ac:dyDescent="0.2">
      <c r="A328" s="136"/>
      <c r="B328" s="71">
        <v>85510</v>
      </c>
      <c r="C328" s="137" t="s">
        <v>101</v>
      </c>
      <c r="D328" s="146" t="s">
        <v>7</v>
      </c>
      <c r="E328" s="8">
        <f>SUM(E331)</f>
        <v>9573600</v>
      </c>
      <c r="F328" s="8"/>
      <c r="G328" s="318">
        <f>SUM(G330:G331)</f>
        <v>10986342.629999999</v>
      </c>
      <c r="H328" s="318">
        <f>SUM(H330:H331)</f>
        <v>10978597.619999999</v>
      </c>
      <c r="I328" s="381">
        <f t="shared" ref="I328:N328" si="174">SUM(I331)</f>
        <v>0</v>
      </c>
      <c r="J328" s="375">
        <f t="shared" si="174"/>
        <v>0</v>
      </c>
      <c r="K328" s="375">
        <f t="shared" si="174"/>
        <v>0</v>
      </c>
      <c r="L328" s="365">
        <f t="shared" si="174"/>
        <v>0</v>
      </c>
      <c r="M328" s="362"/>
      <c r="N328" s="379">
        <f t="shared" si="174"/>
        <v>9573600</v>
      </c>
      <c r="O328" s="318">
        <f>SUM(O330:O331)</f>
        <v>339866</v>
      </c>
      <c r="P328" s="318">
        <f>SUM(P330:P331)</f>
        <v>1752608.63</v>
      </c>
      <c r="Q328" s="318">
        <f t="shared" ref="Q328" si="175">SUM(Q330:Q331)</f>
        <v>10986342.629999999</v>
      </c>
      <c r="R328" s="318">
        <f t="shared" ref="R328" si="176">SUM(R330:R331)</f>
        <v>10978597.619999999</v>
      </c>
    </row>
    <row r="329" spans="1:18" ht="17.100000000000001" customHeight="1" x14ac:dyDescent="0.2">
      <c r="A329" s="136"/>
      <c r="B329" s="9"/>
      <c r="D329" s="116" t="s">
        <v>8</v>
      </c>
      <c r="E329" s="18"/>
      <c r="F329" s="18"/>
      <c r="G329" s="329"/>
      <c r="H329" s="367"/>
      <c r="I329" s="360"/>
      <c r="J329" s="369"/>
      <c r="K329" s="369"/>
      <c r="L329" s="370"/>
      <c r="M329" s="368"/>
      <c r="N329" s="244"/>
      <c r="O329" s="329"/>
      <c r="P329" s="329"/>
      <c r="Q329" s="329"/>
      <c r="R329" s="329"/>
    </row>
    <row r="330" spans="1:18" ht="17.100000000000001" hidden="1" customHeight="1" x14ac:dyDescent="0.2">
      <c r="A330" s="136"/>
      <c r="B330" s="9"/>
      <c r="D330" s="116" t="s">
        <v>11</v>
      </c>
      <c r="E330" s="18"/>
      <c r="F330" s="18"/>
      <c r="G330" s="329">
        <f>SUM(L330,Q330)</f>
        <v>0</v>
      </c>
      <c r="H330" s="367"/>
      <c r="I330" s="360"/>
      <c r="J330" s="369"/>
      <c r="K330" s="369"/>
      <c r="L330" s="370"/>
      <c r="M330" s="368"/>
      <c r="N330" s="244"/>
      <c r="O330" s="329"/>
      <c r="P330" s="329"/>
      <c r="Q330" s="329">
        <f>SUM(N330-O330+P330)</f>
        <v>0</v>
      </c>
      <c r="R330" s="329"/>
    </row>
    <row r="331" spans="1:18" ht="17.100000000000001" customHeight="1" x14ac:dyDescent="0.2">
      <c r="A331" s="136"/>
      <c r="B331" s="9"/>
      <c r="D331" s="116" t="s">
        <v>14</v>
      </c>
      <c r="E331" s="18">
        <f>SUM(I331,N331)</f>
        <v>9573600</v>
      </c>
      <c r="F331" s="18"/>
      <c r="G331" s="329">
        <f>SUM(L331,Q331)</f>
        <v>10986342.629999999</v>
      </c>
      <c r="H331" s="367">
        <f>SUM(M331,R331)</f>
        <v>10978597.619999999</v>
      </c>
      <c r="I331" s="360"/>
      <c r="J331" s="369"/>
      <c r="K331" s="369"/>
      <c r="L331" s="370">
        <f>SUM(I331-J331+K331)</f>
        <v>0</v>
      </c>
      <c r="M331" s="368"/>
      <c r="N331" s="244">
        <v>9573600</v>
      </c>
      <c r="O331" s="329">
        <f>151200+59436+93505+22100+13625</f>
        <v>339866</v>
      </c>
      <c r="P331" s="329">
        <f>16121.14+31421.54+10004+1462600+14128.53+449.2+11183.68+16156+1159.23+22744.26+50280+21845.87+19923.48+13321.8+20244.16+39142+1883.74</f>
        <v>1752608.63</v>
      </c>
      <c r="Q331" s="329">
        <f>SUM(N331-O331+P331)</f>
        <v>10986342.629999999</v>
      </c>
      <c r="R331" s="329">
        <v>10978597.619999999</v>
      </c>
    </row>
    <row r="332" spans="1:18" ht="18.75" customHeight="1" x14ac:dyDescent="0.2">
      <c r="A332" s="136"/>
      <c r="B332" s="71">
        <v>85516</v>
      </c>
      <c r="C332" s="137" t="s">
        <v>112</v>
      </c>
      <c r="D332" s="146" t="s">
        <v>7</v>
      </c>
      <c r="E332" s="8">
        <f>SUM(E334)</f>
        <v>32406716</v>
      </c>
      <c r="F332" s="8"/>
      <c r="G332" s="318">
        <f>SUM(G334)</f>
        <v>64942368</v>
      </c>
      <c r="H332" s="318">
        <f>SUM(H334)</f>
        <v>63120975.950000003</v>
      </c>
      <c r="I332" s="381"/>
      <c r="J332" s="375"/>
      <c r="K332" s="375"/>
      <c r="L332" s="365"/>
      <c r="M332" s="362"/>
      <c r="N332" s="379">
        <f>SUM(N334)</f>
        <v>32406716</v>
      </c>
      <c r="O332" s="318">
        <f t="shared" ref="O332:R332" si="177">SUM(O334)</f>
        <v>2414147</v>
      </c>
      <c r="P332" s="318">
        <f t="shared" si="177"/>
        <v>34949799</v>
      </c>
      <c r="Q332" s="318">
        <f t="shared" si="177"/>
        <v>64942368</v>
      </c>
      <c r="R332" s="318">
        <f t="shared" si="177"/>
        <v>63120975.950000003</v>
      </c>
    </row>
    <row r="333" spans="1:18" ht="17.100000000000001" customHeight="1" x14ac:dyDescent="0.2">
      <c r="A333" s="136"/>
      <c r="B333" s="9"/>
      <c r="D333" s="116" t="s">
        <v>8</v>
      </c>
      <c r="E333" s="18"/>
      <c r="F333" s="18"/>
      <c r="G333" s="323"/>
      <c r="H333" s="372"/>
      <c r="I333" s="360"/>
      <c r="J333" s="369"/>
      <c r="K333" s="369"/>
      <c r="L333" s="370"/>
      <c r="M333" s="368"/>
      <c r="N333" s="244"/>
      <c r="O333" s="329"/>
      <c r="P333" s="329"/>
      <c r="Q333" s="329"/>
      <c r="R333" s="329"/>
    </row>
    <row r="334" spans="1:18" ht="17.100000000000001" customHeight="1" x14ac:dyDescent="0.2">
      <c r="A334" s="136"/>
      <c r="B334" s="9"/>
      <c r="D334" s="116" t="s">
        <v>11</v>
      </c>
      <c r="E334" s="18">
        <f>SUM(I334,N334)</f>
        <v>32406716</v>
      </c>
      <c r="F334" s="18"/>
      <c r="G334" s="329">
        <f>SUM(L334,Q334)</f>
        <v>64942368</v>
      </c>
      <c r="H334" s="367">
        <f>SUM(M334,R334)</f>
        <v>63120975.950000003</v>
      </c>
      <c r="I334" s="360"/>
      <c r="J334" s="369"/>
      <c r="K334" s="369"/>
      <c r="L334" s="370"/>
      <c r="M334" s="368"/>
      <c r="N334" s="244">
        <v>32406716</v>
      </c>
      <c r="O334" s="329">
        <f>900000+400000+250000+15000+5000+43500+50000+30000+67939+202708+450000</f>
        <v>2414147</v>
      </c>
      <c r="P334" s="329">
        <f>30000000+3600000+718020+124675+296000+30000+44000+137104</f>
        <v>34949799</v>
      </c>
      <c r="Q334" s="329">
        <f>SUM(N334-O334+P334)</f>
        <v>64942368</v>
      </c>
      <c r="R334" s="329">
        <v>63120975.950000003</v>
      </c>
    </row>
    <row r="335" spans="1:18" ht="18.75" customHeight="1" x14ac:dyDescent="0.2">
      <c r="A335" s="136"/>
      <c r="B335" s="71">
        <v>85595</v>
      </c>
      <c r="C335" s="137" t="s">
        <v>13</v>
      </c>
      <c r="D335" s="146" t="s">
        <v>7</v>
      </c>
      <c r="E335" s="8">
        <f>SUM(E337)</f>
        <v>4722325</v>
      </c>
      <c r="F335" s="8"/>
      <c r="G335" s="318">
        <f>SUM(G337)</f>
        <v>5231674</v>
      </c>
      <c r="H335" s="318">
        <f>SUM(H337)</f>
        <v>5082863</v>
      </c>
      <c r="I335" s="381"/>
      <c r="J335" s="375"/>
      <c r="K335" s="375"/>
      <c r="L335" s="365"/>
      <c r="M335" s="362"/>
      <c r="N335" s="379">
        <f>SUM(N337)</f>
        <v>4722325</v>
      </c>
      <c r="O335" s="318">
        <f t="shared" ref="O335:R335" si="178">SUM(O337)</f>
        <v>417243</v>
      </c>
      <c r="P335" s="318">
        <f t="shared" si="178"/>
        <v>926592</v>
      </c>
      <c r="Q335" s="318">
        <f t="shared" si="178"/>
        <v>5231674</v>
      </c>
      <c r="R335" s="318">
        <f t="shared" si="178"/>
        <v>5082863</v>
      </c>
    </row>
    <row r="336" spans="1:18" ht="17.100000000000001" customHeight="1" x14ac:dyDescent="0.2">
      <c r="A336" s="136"/>
      <c r="B336" s="9"/>
      <c r="D336" s="116" t="s">
        <v>8</v>
      </c>
      <c r="E336" s="18"/>
      <c r="F336" s="18"/>
      <c r="G336" s="323"/>
      <c r="H336" s="372"/>
      <c r="I336" s="360"/>
      <c r="J336" s="369"/>
      <c r="K336" s="369"/>
      <c r="L336" s="370"/>
      <c r="M336" s="368"/>
      <c r="N336" s="244"/>
      <c r="O336" s="329"/>
      <c r="P336" s="329"/>
      <c r="Q336" s="329"/>
      <c r="R336" s="329"/>
    </row>
    <row r="337" spans="1:18" ht="17.100000000000001" customHeight="1" thickBot="1" x14ac:dyDescent="0.25">
      <c r="A337" s="136"/>
      <c r="B337" s="9"/>
      <c r="D337" s="116" t="s">
        <v>11</v>
      </c>
      <c r="E337" s="18">
        <f>SUM(I337,N337)</f>
        <v>4722325</v>
      </c>
      <c r="F337" s="18"/>
      <c r="G337" s="329">
        <f>SUM(L337,Q337)</f>
        <v>5231674</v>
      </c>
      <c r="H337" s="367">
        <f>SUM(M337,R337)</f>
        <v>5082863</v>
      </c>
      <c r="I337" s="360"/>
      <c r="J337" s="369"/>
      <c r="K337" s="369"/>
      <c r="L337" s="370"/>
      <c r="M337" s="368"/>
      <c r="N337" s="244">
        <v>4722325</v>
      </c>
      <c r="O337" s="329">
        <f>1000+41000+50000+180000+50000+91175+4068</f>
        <v>417243</v>
      </c>
      <c r="P337" s="329">
        <f>142000+78000+400000+250000+56592</f>
        <v>926592</v>
      </c>
      <c r="Q337" s="329">
        <f>SUM(N337-O337+P337)</f>
        <v>5231674</v>
      </c>
      <c r="R337" s="329">
        <f>250000+4832863</f>
        <v>5082863</v>
      </c>
    </row>
    <row r="338" spans="1:18" ht="16.5" customHeight="1" x14ac:dyDescent="0.2">
      <c r="A338" s="150">
        <v>900</v>
      </c>
      <c r="B338" s="94"/>
      <c r="C338" s="151" t="s">
        <v>70</v>
      </c>
      <c r="D338" s="152" t="s">
        <v>7</v>
      </c>
      <c r="E338" s="84">
        <f>SUM(E340:E341)</f>
        <v>25317372</v>
      </c>
      <c r="F338" s="84">
        <v>0</v>
      </c>
      <c r="G338" s="345">
        <f>SUM(G340:G341)</f>
        <v>14749400</v>
      </c>
      <c r="H338" s="345">
        <f>SUM(H340:H341)</f>
        <v>5129368.01</v>
      </c>
      <c r="I338" s="447">
        <f t="shared" ref="I338:Q338" si="179">SUM(I340:I341)</f>
        <v>0</v>
      </c>
      <c r="J338" s="448">
        <f t="shared" si="179"/>
        <v>0</v>
      </c>
      <c r="K338" s="448">
        <f t="shared" si="179"/>
        <v>0</v>
      </c>
      <c r="L338" s="449">
        <f t="shared" si="179"/>
        <v>0</v>
      </c>
      <c r="M338" s="354"/>
      <c r="N338" s="355">
        <f t="shared" si="179"/>
        <v>25317372</v>
      </c>
      <c r="O338" s="345">
        <f t="shared" si="179"/>
        <v>11845083</v>
      </c>
      <c r="P338" s="345">
        <f t="shared" si="179"/>
        <v>1277111</v>
      </c>
      <c r="Q338" s="345">
        <f t="shared" si="179"/>
        <v>14749400</v>
      </c>
      <c r="R338" s="345">
        <f t="shared" ref="R338" si="180">SUM(R340:R341)</f>
        <v>5129368.01</v>
      </c>
    </row>
    <row r="339" spans="1:18" ht="16.5" customHeight="1" x14ac:dyDescent="0.2">
      <c r="A339" s="308"/>
      <c r="B339" s="9"/>
      <c r="D339" s="130" t="s">
        <v>8</v>
      </c>
      <c r="E339" s="18"/>
      <c r="F339" s="18"/>
      <c r="G339" s="329"/>
      <c r="H339" s="329"/>
      <c r="I339" s="360"/>
      <c r="J339" s="369"/>
      <c r="K339" s="369"/>
      <c r="L339" s="370"/>
      <c r="M339" s="368"/>
      <c r="N339" s="244"/>
      <c r="O339" s="323"/>
      <c r="P339" s="323"/>
      <c r="Q339" s="329"/>
      <c r="R339" s="329"/>
    </row>
    <row r="340" spans="1:18" ht="17.25" customHeight="1" x14ac:dyDescent="0.2">
      <c r="A340" s="136"/>
      <c r="B340" s="9"/>
      <c r="D340" s="116" t="s">
        <v>11</v>
      </c>
      <c r="E340" s="18">
        <f>SUM(E354,E358,E344,E351)</f>
        <v>25317372</v>
      </c>
      <c r="F340" s="18">
        <v>0</v>
      </c>
      <c r="G340" s="329">
        <f>SUM(G354,G358,G344,G351)</f>
        <v>14749400</v>
      </c>
      <c r="H340" s="329">
        <f>SUM(H354,H358,H344,H351)</f>
        <v>5129368.01</v>
      </c>
      <c r="I340" s="360">
        <f t="shared" ref="I340:Q340" si="181">SUM(I354,I358,I344,I351)</f>
        <v>0</v>
      </c>
      <c r="J340" s="369">
        <f t="shared" si="181"/>
        <v>0</v>
      </c>
      <c r="K340" s="369">
        <f t="shared" si="181"/>
        <v>0</v>
      </c>
      <c r="L340" s="370">
        <f t="shared" si="181"/>
        <v>0</v>
      </c>
      <c r="M340" s="368"/>
      <c r="N340" s="244">
        <f t="shared" si="181"/>
        <v>25317372</v>
      </c>
      <c r="O340" s="329">
        <f t="shared" si="181"/>
        <v>11845083</v>
      </c>
      <c r="P340" s="329">
        <f t="shared" si="181"/>
        <v>1277111</v>
      </c>
      <c r="Q340" s="329">
        <f t="shared" si="181"/>
        <v>14749400</v>
      </c>
      <c r="R340" s="329">
        <f t="shared" ref="R340" si="182">SUM(R354,R358,R344,R351)</f>
        <v>5129368.01</v>
      </c>
    </row>
    <row r="341" spans="1:18" ht="17.25" hidden="1" customHeight="1" x14ac:dyDescent="0.2">
      <c r="A341" s="136"/>
      <c r="B341" s="11"/>
      <c r="C341" s="138"/>
      <c r="D341" s="123" t="s">
        <v>14</v>
      </c>
      <c r="E341" s="89">
        <f>SUM(E345,E355,E348)</f>
        <v>0</v>
      </c>
      <c r="F341" s="89"/>
      <c r="G341" s="351">
        <f>SUM(G345,G355,G348)</f>
        <v>0</v>
      </c>
      <c r="H341" s="351">
        <f>SUM(H345,H355,H348)</f>
        <v>0</v>
      </c>
      <c r="I341" s="387">
        <f t="shared" ref="I341:Q341" si="183">SUM(I345,I355,I348)</f>
        <v>0</v>
      </c>
      <c r="J341" s="388">
        <f t="shared" si="183"/>
        <v>0</v>
      </c>
      <c r="K341" s="388">
        <f t="shared" si="183"/>
        <v>0</v>
      </c>
      <c r="L341" s="389">
        <f t="shared" si="183"/>
        <v>0</v>
      </c>
      <c r="M341" s="390"/>
      <c r="N341" s="374">
        <f t="shared" si="183"/>
        <v>0</v>
      </c>
      <c r="O341" s="351">
        <f t="shared" si="183"/>
        <v>0</v>
      </c>
      <c r="P341" s="351">
        <f t="shared" si="183"/>
        <v>0</v>
      </c>
      <c r="Q341" s="351">
        <f t="shared" si="183"/>
        <v>0</v>
      </c>
      <c r="R341" s="351">
        <f t="shared" ref="R341" si="184">SUM(R345,R355,R348)</f>
        <v>0</v>
      </c>
    </row>
    <row r="342" spans="1:18" ht="17.25" customHeight="1" x14ac:dyDescent="0.2">
      <c r="A342" s="136"/>
      <c r="B342" s="71">
        <v>90001</v>
      </c>
      <c r="C342" s="137" t="s">
        <v>91</v>
      </c>
      <c r="D342" s="8" t="s">
        <v>7</v>
      </c>
      <c r="E342" s="8">
        <f>SUM(E344:E345)</f>
        <v>300000</v>
      </c>
      <c r="F342" s="8"/>
      <c r="G342" s="318">
        <f>SUM(G344:G345)</f>
        <v>1099891</v>
      </c>
      <c r="H342" s="318">
        <f>SUM(H344:H345)</f>
        <v>1057352.3999999999</v>
      </c>
      <c r="I342" s="381"/>
      <c r="J342" s="375"/>
      <c r="K342" s="375"/>
      <c r="L342" s="365">
        <f>SUM(L344:L345)</f>
        <v>0</v>
      </c>
      <c r="M342" s="362"/>
      <c r="N342" s="379">
        <f>SUM(N344:N345)</f>
        <v>300000</v>
      </c>
      <c r="O342" s="318">
        <f t="shared" ref="O342:Q342" si="185">SUM(O344:O345)</f>
        <v>200109</v>
      </c>
      <c r="P342" s="318">
        <f t="shared" si="185"/>
        <v>1000000</v>
      </c>
      <c r="Q342" s="318">
        <f t="shared" si="185"/>
        <v>1099891</v>
      </c>
      <c r="R342" s="318">
        <f t="shared" ref="R342" si="186">SUM(R344:R345)</f>
        <v>1057352.3999999999</v>
      </c>
    </row>
    <row r="343" spans="1:18" ht="17.25" customHeight="1" x14ac:dyDescent="0.2">
      <c r="A343" s="136"/>
      <c r="B343" s="9"/>
      <c r="D343" s="130" t="s">
        <v>8</v>
      </c>
      <c r="E343" s="18"/>
      <c r="F343" s="18"/>
      <c r="G343" s="329"/>
      <c r="H343" s="367"/>
      <c r="I343" s="360"/>
      <c r="J343" s="369"/>
      <c r="K343" s="369"/>
      <c r="L343" s="370"/>
      <c r="M343" s="368"/>
      <c r="N343" s="244"/>
      <c r="O343" s="329"/>
      <c r="P343" s="329"/>
      <c r="Q343" s="329"/>
      <c r="R343" s="329"/>
    </row>
    <row r="344" spans="1:18" ht="17.25" customHeight="1" x14ac:dyDescent="0.2">
      <c r="A344" s="136"/>
      <c r="B344" s="9"/>
      <c r="D344" s="116" t="s">
        <v>11</v>
      </c>
      <c r="E344" s="18">
        <f t="shared" ref="E344:E345" si="187">SUM(I344,N344)</f>
        <v>300000</v>
      </c>
      <c r="F344" s="18"/>
      <c r="G344" s="329">
        <f>SUM(L344,Q344)</f>
        <v>1099891</v>
      </c>
      <c r="H344" s="367">
        <f>SUM(M344,R344)</f>
        <v>1057352.3999999999</v>
      </c>
      <c r="I344" s="360"/>
      <c r="J344" s="369"/>
      <c r="K344" s="369"/>
      <c r="L344" s="370"/>
      <c r="M344" s="368"/>
      <c r="N344" s="244">
        <v>300000</v>
      </c>
      <c r="O344" s="329">
        <f>78500+15000+98400+8209</f>
        <v>200109</v>
      </c>
      <c r="P344" s="329">
        <v>1000000</v>
      </c>
      <c r="Q344" s="329">
        <f t="shared" ref="Q344:Q345" si="188">SUM(N344-O344+P344)</f>
        <v>1099891</v>
      </c>
      <c r="R344" s="329">
        <v>1057352.3999999999</v>
      </c>
    </row>
    <row r="345" spans="1:18" ht="17.25" hidden="1" customHeight="1" x14ac:dyDescent="0.2">
      <c r="A345" s="136"/>
      <c r="B345" s="9"/>
      <c r="D345" s="116" t="s">
        <v>14</v>
      </c>
      <c r="E345" s="18">
        <f t="shared" si="187"/>
        <v>0</v>
      </c>
      <c r="F345" s="18"/>
      <c r="G345" s="329">
        <f>SUM(L345,Q345)</f>
        <v>0</v>
      </c>
      <c r="H345" s="367"/>
      <c r="I345" s="360"/>
      <c r="J345" s="369"/>
      <c r="K345" s="369"/>
      <c r="L345" s="370"/>
      <c r="M345" s="368"/>
      <c r="N345" s="244"/>
      <c r="O345" s="329"/>
      <c r="P345" s="329"/>
      <c r="Q345" s="329">
        <f t="shared" si="188"/>
        <v>0</v>
      </c>
      <c r="R345" s="329"/>
    </row>
    <row r="346" spans="1:18" ht="17.25" hidden="1" customHeight="1" x14ac:dyDescent="0.2">
      <c r="A346" s="136"/>
      <c r="B346" s="71">
        <v>90002</v>
      </c>
      <c r="C346" s="137" t="s">
        <v>94</v>
      </c>
      <c r="D346" s="115" t="s">
        <v>7</v>
      </c>
      <c r="E346" s="8">
        <f>SUM(E348)</f>
        <v>0</v>
      </c>
      <c r="F346" s="8"/>
      <c r="G346" s="318">
        <f>SUM(G348)</f>
        <v>0</v>
      </c>
      <c r="H346" s="446"/>
      <c r="I346" s="381">
        <f t="shared" ref="I346:Q346" si="189">SUM(I348)</f>
        <v>0</v>
      </c>
      <c r="J346" s="375">
        <f t="shared" si="189"/>
        <v>0</v>
      </c>
      <c r="K346" s="375">
        <f t="shared" si="189"/>
        <v>0</v>
      </c>
      <c r="L346" s="365">
        <f t="shared" si="189"/>
        <v>0</v>
      </c>
      <c r="M346" s="362"/>
      <c r="N346" s="379">
        <f t="shared" si="189"/>
        <v>0</v>
      </c>
      <c r="O346" s="318">
        <f t="shared" si="189"/>
        <v>0</v>
      </c>
      <c r="P346" s="318">
        <f t="shared" si="189"/>
        <v>0</v>
      </c>
      <c r="Q346" s="318">
        <f t="shared" si="189"/>
        <v>0</v>
      </c>
      <c r="R346" s="329"/>
    </row>
    <row r="347" spans="1:18" ht="17.25" hidden="1" customHeight="1" x14ac:dyDescent="0.2">
      <c r="A347" s="136"/>
      <c r="B347" s="9"/>
      <c r="D347" s="130" t="s">
        <v>8</v>
      </c>
      <c r="E347" s="18"/>
      <c r="F347" s="18"/>
      <c r="G347" s="329"/>
      <c r="H347" s="367"/>
      <c r="I347" s="360"/>
      <c r="J347" s="369"/>
      <c r="K347" s="369"/>
      <c r="L347" s="370"/>
      <c r="M347" s="368"/>
      <c r="N347" s="244"/>
      <c r="O347" s="329"/>
      <c r="P347" s="329"/>
      <c r="Q347" s="329"/>
      <c r="R347" s="329"/>
    </row>
    <row r="348" spans="1:18" ht="17.25" hidden="1" customHeight="1" x14ac:dyDescent="0.2">
      <c r="A348" s="136"/>
      <c r="B348" s="9"/>
      <c r="D348" s="116" t="s">
        <v>14</v>
      </c>
      <c r="E348" s="18">
        <f t="shared" ref="E348" si="190">SUM(I348,N348)</f>
        <v>0</v>
      </c>
      <c r="F348" s="18"/>
      <c r="G348" s="329">
        <f>SUM(L348,Q348)</f>
        <v>0</v>
      </c>
      <c r="H348" s="367"/>
      <c r="I348" s="360"/>
      <c r="J348" s="369"/>
      <c r="K348" s="369"/>
      <c r="L348" s="370"/>
      <c r="M348" s="368"/>
      <c r="N348" s="244"/>
      <c r="O348" s="329"/>
      <c r="P348" s="329"/>
      <c r="Q348" s="329">
        <f t="shared" ref="Q348" si="191">SUM(N348-O348+P348)</f>
        <v>0</v>
      </c>
      <c r="R348" s="329"/>
    </row>
    <row r="349" spans="1:18" ht="17.25" customHeight="1" x14ac:dyDescent="0.2">
      <c r="A349" s="136"/>
      <c r="B349" s="71">
        <v>90004</v>
      </c>
      <c r="C349" s="137" t="s">
        <v>109</v>
      </c>
      <c r="D349" s="146" t="s">
        <v>7</v>
      </c>
      <c r="E349" s="8">
        <f>SUM(E351)</f>
        <v>300000</v>
      </c>
      <c r="F349" s="8"/>
      <c r="G349" s="318">
        <f>SUM(G351)</f>
        <v>408565</v>
      </c>
      <c r="H349" s="318">
        <f>SUM(H351)</f>
        <v>405531.26</v>
      </c>
      <c r="I349" s="381">
        <f t="shared" ref="I349:R349" si="192">SUM(I351)</f>
        <v>0</v>
      </c>
      <c r="J349" s="375">
        <f t="shared" si="192"/>
        <v>0</v>
      </c>
      <c r="K349" s="375">
        <f t="shared" si="192"/>
        <v>0</v>
      </c>
      <c r="L349" s="365">
        <f t="shared" si="192"/>
        <v>0</v>
      </c>
      <c r="M349" s="362"/>
      <c r="N349" s="379">
        <f t="shared" si="192"/>
        <v>300000</v>
      </c>
      <c r="O349" s="318">
        <f t="shared" si="192"/>
        <v>91435</v>
      </c>
      <c r="P349" s="318">
        <f t="shared" si="192"/>
        <v>200000</v>
      </c>
      <c r="Q349" s="318">
        <f t="shared" si="192"/>
        <v>408565</v>
      </c>
      <c r="R349" s="318">
        <f t="shared" si="192"/>
        <v>405531.26</v>
      </c>
    </row>
    <row r="350" spans="1:18" ht="17.25" customHeight="1" x14ac:dyDescent="0.2">
      <c r="A350" s="136"/>
      <c r="B350" s="9"/>
      <c r="D350" s="116" t="s">
        <v>8</v>
      </c>
      <c r="E350" s="18"/>
      <c r="F350" s="18"/>
      <c r="G350" s="329"/>
      <c r="H350" s="367"/>
      <c r="I350" s="360"/>
      <c r="J350" s="369"/>
      <c r="K350" s="369"/>
      <c r="L350" s="370"/>
      <c r="M350" s="368"/>
      <c r="N350" s="244"/>
      <c r="O350" s="329"/>
      <c r="P350" s="329"/>
      <c r="Q350" s="329"/>
      <c r="R350" s="329"/>
    </row>
    <row r="351" spans="1:18" ht="17.25" customHeight="1" x14ac:dyDescent="0.2">
      <c r="A351" s="136"/>
      <c r="B351" s="9"/>
      <c r="D351" s="116" t="s">
        <v>11</v>
      </c>
      <c r="E351" s="18">
        <f t="shared" ref="E351" si="193">SUM(I351,N351)</f>
        <v>300000</v>
      </c>
      <c r="F351" s="18"/>
      <c r="G351" s="329">
        <f>SUM(L351,Q351)</f>
        <v>408565</v>
      </c>
      <c r="H351" s="367">
        <f>SUM(M351,R351)</f>
        <v>405531.26</v>
      </c>
      <c r="I351" s="360"/>
      <c r="J351" s="369"/>
      <c r="K351" s="369"/>
      <c r="L351" s="370"/>
      <c r="M351" s="368"/>
      <c r="N351" s="244">
        <v>300000</v>
      </c>
      <c r="O351" s="329">
        <f>56561+34874</f>
        <v>91435</v>
      </c>
      <c r="P351" s="329">
        <v>200000</v>
      </c>
      <c r="Q351" s="329">
        <f t="shared" ref="Q351" si="194">SUM(N351-O351+P351)</f>
        <v>408565</v>
      </c>
      <c r="R351" s="329">
        <v>405531.26</v>
      </c>
    </row>
    <row r="352" spans="1:18" ht="17.25" customHeight="1" x14ac:dyDescent="0.2">
      <c r="A352" s="136"/>
      <c r="B352" s="71">
        <v>90005</v>
      </c>
      <c r="C352" s="137" t="s">
        <v>87</v>
      </c>
      <c r="D352" s="115" t="s">
        <v>7</v>
      </c>
      <c r="E352" s="8">
        <f>SUM(E354:E355)</f>
        <v>24717372</v>
      </c>
      <c r="F352" s="8"/>
      <c r="G352" s="318">
        <f>SUM(G354:G355)</f>
        <v>13240944</v>
      </c>
      <c r="H352" s="318">
        <f>SUM(H354:H355)</f>
        <v>3666484.35</v>
      </c>
      <c r="I352" s="381">
        <f t="shared" ref="I352:R352" si="195">SUM(I354:I355)</f>
        <v>0</v>
      </c>
      <c r="J352" s="375">
        <f t="shared" si="195"/>
        <v>0</v>
      </c>
      <c r="K352" s="375">
        <f t="shared" si="195"/>
        <v>0</v>
      </c>
      <c r="L352" s="365">
        <f t="shared" si="195"/>
        <v>0</v>
      </c>
      <c r="M352" s="362"/>
      <c r="N352" s="379">
        <f t="shared" si="195"/>
        <v>24717372</v>
      </c>
      <c r="O352" s="318">
        <f t="shared" si="195"/>
        <v>11523539</v>
      </c>
      <c r="P352" s="318">
        <f t="shared" si="195"/>
        <v>47111</v>
      </c>
      <c r="Q352" s="318">
        <f t="shared" si="195"/>
        <v>13240944</v>
      </c>
      <c r="R352" s="318">
        <f t="shared" si="195"/>
        <v>3666484.35</v>
      </c>
    </row>
    <row r="353" spans="1:18" ht="17.25" customHeight="1" x14ac:dyDescent="0.2">
      <c r="A353" s="136"/>
      <c r="B353" s="9"/>
      <c r="D353" s="130" t="s">
        <v>8</v>
      </c>
      <c r="E353" s="18"/>
      <c r="F353" s="18"/>
      <c r="G353" s="329"/>
      <c r="H353" s="367"/>
      <c r="I353" s="360"/>
      <c r="J353" s="369"/>
      <c r="K353" s="369"/>
      <c r="L353" s="370"/>
      <c r="M353" s="368"/>
      <c r="N353" s="244"/>
      <c r="O353" s="323"/>
      <c r="P353" s="323"/>
      <c r="Q353" s="329"/>
      <c r="R353" s="329"/>
    </row>
    <row r="354" spans="1:18" ht="17.25" customHeight="1" thickBot="1" x14ac:dyDescent="0.25">
      <c r="A354" s="136"/>
      <c r="B354" s="9"/>
      <c r="D354" s="116" t="s">
        <v>11</v>
      </c>
      <c r="E354" s="18">
        <f>SUM(I354,N354)</f>
        <v>24717372</v>
      </c>
      <c r="F354" s="18"/>
      <c r="G354" s="329">
        <f>SUM(L354,Q354)</f>
        <v>13240944</v>
      </c>
      <c r="H354" s="367">
        <f>SUM(M354,R354)</f>
        <v>3666484.35</v>
      </c>
      <c r="I354" s="360"/>
      <c r="J354" s="369"/>
      <c r="K354" s="369"/>
      <c r="L354" s="370"/>
      <c r="M354" s="368"/>
      <c r="N354" s="244">
        <v>24717372</v>
      </c>
      <c r="O354" s="329">
        <f>4500000+6561177+2500+389682+29227+40953</f>
        <v>11523539</v>
      </c>
      <c r="P354" s="329">
        <v>47111</v>
      </c>
      <c r="Q354" s="329">
        <f>SUM(N354-O354+P354)</f>
        <v>13240944</v>
      </c>
      <c r="R354" s="329">
        <v>3666484.35</v>
      </c>
    </row>
    <row r="355" spans="1:18" ht="17.25" hidden="1" customHeight="1" x14ac:dyDescent="0.2">
      <c r="A355" s="136"/>
      <c r="B355" s="9"/>
      <c r="D355" s="123" t="s">
        <v>14</v>
      </c>
      <c r="E355" s="18">
        <f>SUM(I355,N355)</f>
        <v>0</v>
      </c>
      <c r="F355" s="18"/>
      <c r="G355" s="329">
        <f>SUM(L355,Q355)</f>
        <v>0</v>
      </c>
      <c r="H355" s="367"/>
      <c r="I355" s="360"/>
      <c r="J355" s="369"/>
      <c r="K355" s="369"/>
      <c r="L355" s="370"/>
      <c r="M355" s="368"/>
      <c r="N355" s="244"/>
      <c r="O355" s="329"/>
      <c r="P355" s="329"/>
      <c r="Q355" s="329">
        <f>SUM(N355-O355+P355)</f>
        <v>0</v>
      </c>
      <c r="R355" s="329"/>
    </row>
    <row r="356" spans="1:18" ht="15.75" hidden="1" customHeight="1" x14ac:dyDescent="0.2">
      <c r="A356" s="136"/>
      <c r="B356" s="139">
        <v>90095</v>
      </c>
      <c r="C356" s="145" t="s">
        <v>13</v>
      </c>
      <c r="D356" s="8" t="s">
        <v>7</v>
      </c>
      <c r="E356" s="8">
        <f>SUM(E358)</f>
        <v>0</v>
      </c>
      <c r="F356" s="8">
        <v>0</v>
      </c>
      <c r="G356" s="318">
        <f>SUM(G358)</f>
        <v>0</v>
      </c>
      <c r="H356" s="446"/>
      <c r="I356" s="381">
        <f t="shared" ref="I356:Q356" si="196">SUM(I358)</f>
        <v>0</v>
      </c>
      <c r="J356" s="375">
        <f t="shared" si="196"/>
        <v>0</v>
      </c>
      <c r="K356" s="375">
        <f t="shared" si="196"/>
        <v>0</v>
      </c>
      <c r="L356" s="365">
        <f t="shared" si="196"/>
        <v>0</v>
      </c>
      <c r="M356" s="362"/>
      <c r="N356" s="379">
        <f t="shared" si="196"/>
        <v>0</v>
      </c>
      <c r="O356" s="318">
        <f t="shared" si="196"/>
        <v>30000</v>
      </c>
      <c r="P356" s="318">
        <f t="shared" si="196"/>
        <v>30000</v>
      </c>
      <c r="Q356" s="318">
        <f t="shared" si="196"/>
        <v>0</v>
      </c>
      <c r="R356" s="329"/>
    </row>
    <row r="357" spans="1:18" ht="15.75" hidden="1" customHeight="1" x14ac:dyDescent="0.2">
      <c r="A357" s="136"/>
      <c r="B357" s="9"/>
      <c r="D357" s="130" t="s">
        <v>8</v>
      </c>
      <c r="E357" s="18"/>
      <c r="F357" s="18"/>
      <c r="G357" s="329">
        <v>0</v>
      </c>
      <c r="H357" s="367"/>
      <c r="I357" s="360"/>
      <c r="J357" s="369"/>
      <c r="K357" s="369"/>
      <c r="L357" s="370">
        <v>0</v>
      </c>
      <c r="M357" s="368"/>
      <c r="N357" s="244"/>
      <c r="O357" s="323"/>
      <c r="P357" s="323"/>
      <c r="Q357" s="329">
        <v>0</v>
      </c>
      <c r="R357" s="329"/>
    </row>
    <row r="358" spans="1:18" ht="19.5" hidden="1" customHeight="1" thickBot="1" x14ac:dyDescent="0.25">
      <c r="A358" s="136"/>
      <c r="B358" s="9"/>
      <c r="D358" s="116" t="s">
        <v>11</v>
      </c>
      <c r="E358" s="18">
        <f>SUM(I358,N358)</f>
        <v>0</v>
      </c>
      <c r="F358" s="18"/>
      <c r="G358" s="329">
        <f>SUM(L358,Q358)</f>
        <v>0</v>
      </c>
      <c r="H358" s="367"/>
      <c r="I358" s="360"/>
      <c r="J358" s="369"/>
      <c r="K358" s="369"/>
      <c r="L358" s="370">
        <v>0</v>
      </c>
      <c r="M358" s="368"/>
      <c r="N358" s="244"/>
      <c r="O358" s="329">
        <v>30000</v>
      </c>
      <c r="P358" s="329">
        <v>30000</v>
      </c>
      <c r="Q358" s="329">
        <f>SUM(N358-O358+P358)</f>
        <v>0</v>
      </c>
      <c r="R358" s="329"/>
    </row>
    <row r="359" spans="1:18" ht="18" customHeight="1" x14ac:dyDescent="0.2">
      <c r="A359" s="150">
        <v>921</v>
      </c>
      <c r="B359" s="154"/>
      <c r="C359" s="151" t="s">
        <v>71</v>
      </c>
      <c r="D359" s="152" t="s">
        <v>7</v>
      </c>
      <c r="E359" s="208">
        <f>SUM(E361)</f>
        <v>16895000</v>
      </c>
      <c r="F359" s="208">
        <v>0</v>
      </c>
      <c r="G359" s="345">
        <f>SUM(G361:G362)</f>
        <v>16895000</v>
      </c>
      <c r="H359" s="345">
        <f>SUM(H361:H362)</f>
        <v>16894170.990000002</v>
      </c>
      <c r="I359" s="346">
        <f t="shared" ref="I359:L359" si="197">SUM(I361)</f>
        <v>0</v>
      </c>
      <c r="J359" s="400">
        <f t="shared" si="197"/>
        <v>0</v>
      </c>
      <c r="K359" s="400">
        <f t="shared" si="197"/>
        <v>0</v>
      </c>
      <c r="L359" s="399">
        <f t="shared" si="197"/>
        <v>0</v>
      </c>
      <c r="M359" s="430"/>
      <c r="N359" s="350">
        <f>SUM(N361:N362)</f>
        <v>16895000</v>
      </c>
      <c r="O359" s="402">
        <f t="shared" ref="O359:Q359" si="198">SUM(O361:O362)</f>
        <v>200000</v>
      </c>
      <c r="P359" s="402">
        <f t="shared" si="198"/>
        <v>200000</v>
      </c>
      <c r="Q359" s="345">
        <f t="shared" si="198"/>
        <v>16895000</v>
      </c>
      <c r="R359" s="345">
        <f t="shared" ref="R359" si="199">SUM(R361:R362)</f>
        <v>16894170.990000002</v>
      </c>
    </row>
    <row r="360" spans="1:18" ht="18" customHeight="1" x14ac:dyDescent="0.2">
      <c r="A360" s="308"/>
      <c r="B360" s="9"/>
      <c r="D360" s="130" t="s">
        <v>8</v>
      </c>
      <c r="E360" s="18"/>
      <c r="F360" s="18"/>
      <c r="G360" s="329"/>
      <c r="H360" s="329"/>
      <c r="I360" s="360"/>
      <c r="J360" s="369"/>
      <c r="K360" s="369"/>
      <c r="L360" s="312"/>
      <c r="M360" s="332"/>
      <c r="N360" s="244"/>
      <c r="O360" s="329"/>
      <c r="P360" s="329"/>
      <c r="Q360" s="329"/>
      <c r="R360" s="329"/>
    </row>
    <row r="361" spans="1:18" ht="15.75" customHeight="1" x14ac:dyDescent="0.2">
      <c r="A361" s="136"/>
      <c r="B361" s="9"/>
      <c r="D361" s="116" t="s">
        <v>11</v>
      </c>
      <c r="E361" s="22">
        <f>SUM(E365,E379,E382)</f>
        <v>16895000</v>
      </c>
      <c r="F361" s="22">
        <v>0</v>
      </c>
      <c r="G361" s="329">
        <f>SUM(G365,G379)</f>
        <v>16895000</v>
      </c>
      <c r="H361" s="329">
        <f>SUM(H365,H379)</f>
        <v>16894170.990000002</v>
      </c>
      <c r="I361" s="331">
        <f t="shared" ref="I361:L361" si="200">SUM(I365,I379)</f>
        <v>0</v>
      </c>
      <c r="J361" s="403">
        <f t="shared" si="200"/>
        <v>0</v>
      </c>
      <c r="K361" s="403">
        <f t="shared" si="200"/>
        <v>0</v>
      </c>
      <c r="L361" s="312">
        <f t="shared" si="200"/>
        <v>0</v>
      </c>
      <c r="M361" s="431"/>
      <c r="N361" s="333">
        <f>SUM(N365,N379)</f>
        <v>16895000</v>
      </c>
      <c r="O361" s="361">
        <f t="shared" ref="O361:Q361" si="201">SUM(O365,O379)</f>
        <v>200000</v>
      </c>
      <c r="P361" s="361">
        <f t="shared" si="201"/>
        <v>200000</v>
      </c>
      <c r="Q361" s="329">
        <f t="shared" si="201"/>
        <v>16895000</v>
      </c>
      <c r="R361" s="329">
        <f t="shared" ref="R361" si="202">SUM(R365,R379)</f>
        <v>16894170.990000002</v>
      </c>
    </row>
    <row r="362" spans="1:18" ht="15.75" hidden="1" customHeight="1" x14ac:dyDescent="0.2">
      <c r="A362" s="136"/>
      <c r="B362" s="9"/>
      <c r="D362" s="18" t="s">
        <v>14</v>
      </c>
      <c r="E362" s="18">
        <v>0</v>
      </c>
      <c r="F362" s="18">
        <v>1</v>
      </c>
      <c r="G362" s="329">
        <f>SUM(G382)</f>
        <v>0</v>
      </c>
      <c r="H362" s="329">
        <f>SUM(H382)</f>
        <v>0</v>
      </c>
      <c r="I362" s="360"/>
      <c r="J362" s="369"/>
      <c r="K362" s="369"/>
      <c r="L362" s="312"/>
      <c r="M362" s="332"/>
      <c r="N362" s="244">
        <f>SUM(N382)</f>
        <v>0</v>
      </c>
      <c r="O362" s="329">
        <f t="shared" ref="O362:Q362" si="203">SUM(O382)</f>
        <v>0</v>
      </c>
      <c r="P362" s="329">
        <f t="shared" si="203"/>
        <v>0</v>
      </c>
      <c r="Q362" s="329">
        <f t="shared" si="203"/>
        <v>0</v>
      </c>
      <c r="R362" s="329">
        <f t="shared" ref="R362" si="204">SUM(R382)</f>
        <v>0</v>
      </c>
    </row>
    <row r="363" spans="1:18" ht="15.75" customHeight="1" x14ac:dyDescent="0.2">
      <c r="A363" s="136"/>
      <c r="B363" s="71">
        <v>92105</v>
      </c>
      <c r="C363" s="137" t="s">
        <v>72</v>
      </c>
      <c r="D363" s="115" t="s">
        <v>7</v>
      </c>
      <c r="E363" s="207">
        <f>SUM(E365)</f>
        <v>12095000</v>
      </c>
      <c r="F363" s="207">
        <v>0</v>
      </c>
      <c r="G363" s="318">
        <f>SUM(G365)</f>
        <v>12095000</v>
      </c>
      <c r="H363" s="318">
        <f>SUM(H365)</f>
        <v>12094170.99</v>
      </c>
      <c r="I363" s="334">
        <f t="shared" ref="I363:Q363" si="205">SUM(I365)</f>
        <v>0</v>
      </c>
      <c r="J363" s="420">
        <f t="shared" si="205"/>
        <v>0</v>
      </c>
      <c r="K363" s="420">
        <f t="shared" si="205"/>
        <v>0</v>
      </c>
      <c r="L363" s="336">
        <f t="shared" si="205"/>
        <v>0</v>
      </c>
      <c r="M363" s="433"/>
      <c r="N363" s="342">
        <f t="shared" si="205"/>
        <v>12095000</v>
      </c>
      <c r="O363" s="371">
        <f t="shared" si="205"/>
        <v>0</v>
      </c>
      <c r="P363" s="371">
        <f t="shared" si="205"/>
        <v>0</v>
      </c>
      <c r="Q363" s="318">
        <f t="shared" si="205"/>
        <v>12095000</v>
      </c>
      <c r="R363" s="318">
        <f t="shared" ref="R363" si="206">SUM(R365)</f>
        <v>12094170.99</v>
      </c>
    </row>
    <row r="364" spans="1:18" ht="17.25" customHeight="1" x14ac:dyDescent="0.2">
      <c r="A364" s="9"/>
      <c r="B364" s="9"/>
      <c r="D364" s="130" t="s">
        <v>8</v>
      </c>
      <c r="E364" s="18"/>
      <c r="F364" s="18"/>
      <c r="G364" s="329"/>
      <c r="H364" s="367"/>
      <c r="I364" s="360"/>
      <c r="J364" s="369"/>
      <c r="K364" s="369"/>
      <c r="L364" s="312"/>
      <c r="M364" s="332"/>
      <c r="N364" s="244"/>
      <c r="O364" s="323"/>
      <c r="P364" s="323"/>
      <c r="Q364" s="329"/>
      <c r="R364" s="329"/>
    </row>
    <row r="365" spans="1:18" ht="18.75" customHeight="1" x14ac:dyDescent="0.2">
      <c r="A365" s="136"/>
      <c r="B365" s="11"/>
      <c r="C365" s="138"/>
      <c r="D365" s="123" t="s">
        <v>11</v>
      </c>
      <c r="E365" s="89">
        <f>SUM(I365,N365)</f>
        <v>12095000</v>
      </c>
      <c r="F365" s="89"/>
      <c r="G365" s="329">
        <f>SUM(L365,Q365)</f>
        <v>12095000</v>
      </c>
      <c r="H365" s="373">
        <f>SUM(M365,R365)</f>
        <v>12094170.99</v>
      </c>
      <c r="I365" s="387"/>
      <c r="J365" s="388"/>
      <c r="K365" s="388"/>
      <c r="L365" s="312">
        <v>0</v>
      </c>
      <c r="M365" s="332"/>
      <c r="N365" s="374">
        <v>12095000</v>
      </c>
      <c r="O365" s="329"/>
      <c r="P365" s="329"/>
      <c r="Q365" s="329">
        <f>SUM(N365-O365+P365)</f>
        <v>12095000</v>
      </c>
      <c r="R365" s="329">
        <v>12094170.99</v>
      </c>
    </row>
    <row r="366" spans="1:18" ht="17.25" hidden="1" customHeight="1" x14ac:dyDescent="0.2">
      <c r="A366" s="9"/>
      <c r="B366" s="9">
        <v>92106</v>
      </c>
      <c r="C366" s="135" t="s">
        <v>77</v>
      </c>
      <c r="D366" s="134" t="s">
        <v>7</v>
      </c>
      <c r="E366" s="22">
        <v>0</v>
      </c>
      <c r="F366" s="22">
        <v>0</v>
      </c>
      <c r="G366" s="329">
        <v>0</v>
      </c>
      <c r="H366" s="392"/>
      <c r="I366" s="331">
        <v>0</v>
      </c>
      <c r="J366" s="403"/>
      <c r="K366" s="403"/>
      <c r="L366" s="312">
        <v>0</v>
      </c>
      <c r="M366" s="431"/>
      <c r="N366" s="333">
        <v>0</v>
      </c>
      <c r="O366" s="323"/>
      <c r="P366" s="323"/>
      <c r="Q366" s="329">
        <v>0</v>
      </c>
      <c r="R366" s="329"/>
    </row>
    <row r="367" spans="1:18" ht="17.25" hidden="1" customHeight="1" x14ac:dyDescent="0.2">
      <c r="A367" s="136"/>
      <c r="B367" s="9"/>
      <c r="D367" s="130" t="s">
        <v>8</v>
      </c>
      <c r="E367" s="18"/>
      <c r="F367" s="18"/>
      <c r="G367" s="329">
        <v>0</v>
      </c>
      <c r="H367" s="367"/>
      <c r="I367" s="360"/>
      <c r="J367" s="369"/>
      <c r="K367" s="369"/>
      <c r="L367" s="312">
        <v>0</v>
      </c>
      <c r="M367" s="332"/>
      <c r="N367" s="244"/>
      <c r="O367" s="323"/>
      <c r="P367" s="323"/>
      <c r="Q367" s="329">
        <v>0</v>
      </c>
      <c r="R367" s="329"/>
    </row>
    <row r="368" spans="1:18" ht="15" hidden="1" customHeight="1" x14ac:dyDescent="0.2">
      <c r="A368" s="136"/>
      <c r="B368" s="11"/>
      <c r="C368" s="138"/>
      <c r="D368" s="123" t="s">
        <v>11</v>
      </c>
      <c r="E368" s="89">
        <v>0</v>
      </c>
      <c r="F368" s="89"/>
      <c r="G368" s="329">
        <v>0</v>
      </c>
      <c r="H368" s="373"/>
      <c r="I368" s="387"/>
      <c r="J368" s="388"/>
      <c r="K368" s="388"/>
      <c r="L368" s="312">
        <v>0</v>
      </c>
      <c r="M368" s="332"/>
      <c r="N368" s="374"/>
      <c r="O368" s="323"/>
      <c r="P368" s="323"/>
      <c r="Q368" s="329">
        <v>0</v>
      </c>
      <c r="R368" s="329"/>
    </row>
    <row r="369" spans="1:18" hidden="1" x14ac:dyDescent="0.2">
      <c r="A369" s="158"/>
      <c r="B369" s="11"/>
      <c r="C369" s="138"/>
      <c r="D369" s="123" t="s">
        <v>14</v>
      </c>
      <c r="E369" s="18"/>
      <c r="F369" s="18"/>
      <c r="G369" s="329">
        <v>0</v>
      </c>
      <c r="H369" s="367"/>
      <c r="I369" s="360"/>
      <c r="J369" s="369"/>
      <c r="K369" s="369"/>
      <c r="L369" s="312">
        <v>0</v>
      </c>
      <c r="M369" s="332"/>
      <c r="N369" s="244"/>
      <c r="O369" s="323"/>
      <c r="P369" s="323"/>
      <c r="Q369" s="329">
        <v>0</v>
      </c>
      <c r="R369" s="329"/>
    </row>
    <row r="370" spans="1:18" ht="15.95" hidden="1" customHeight="1" x14ac:dyDescent="0.2">
      <c r="A370" s="136"/>
      <c r="B370" s="71">
        <v>92113</v>
      </c>
      <c r="C370" s="114" t="s">
        <v>81</v>
      </c>
      <c r="D370" s="115" t="s">
        <v>7</v>
      </c>
      <c r="E370" s="8">
        <v>0</v>
      </c>
      <c r="F370" s="8">
        <v>0</v>
      </c>
      <c r="G370" s="329">
        <v>0</v>
      </c>
      <c r="H370" s="446"/>
      <c r="I370" s="381">
        <v>0</v>
      </c>
      <c r="J370" s="375"/>
      <c r="K370" s="375"/>
      <c r="L370" s="312">
        <v>0</v>
      </c>
      <c r="M370" s="332"/>
      <c r="N370" s="379">
        <v>0</v>
      </c>
      <c r="O370" s="323"/>
      <c r="P370" s="323"/>
      <c r="Q370" s="329">
        <v>0</v>
      </c>
      <c r="R370" s="329"/>
    </row>
    <row r="371" spans="1:18" ht="15.95" hidden="1" customHeight="1" x14ac:dyDescent="0.2">
      <c r="A371" s="136"/>
      <c r="B371" s="9"/>
      <c r="D371" s="130" t="s">
        <v>8</v>
      </c>
      <c r="E371" s="18"/>
      <c r="F371" s="18"/>
      <c r="G371" s="329">
        <v>0</v>
      </c>
      <c r="H371" s="367"/>
      <c r="I371" s="360"/>
      <c r="J371" s="369"/>
      <c r="K371" s="369"/>
      <c r="L371" s="312">
        <v>0</v>
      </c>
      <c r="M371" s="332"/>
      <c r="N371" s="244"/>
      <c r="O371" s="323"/>
      <c r="P371" s="323"/>
      <c r="Q371" s="329">
        <v>0</v>
      </c>
      <c r="R371" s="329"/>
    </row>
    <row r="372" spans="1:18" ht="15.95" hidden="1" customHeight="1" x14ac:dyDescent="0.2">
      <c r="A372" s="136"/>
      <c r="B372" s="9"/>
      <c r="D372" s="116" t="s">
        <v>11</v>
      </c>
      <c r="E372" s="18">
        <v>0</v>
      </c>
      <c r="F372" s="18"/>
      <c r="G372" s="329">
        <v>0</v>
      </c>
      <c r="H372" s="367"/>
      <c r="I372" s="360"/>
      <c r="J372" s="369"/>
      <c r="K372" s="369"/>
      <c r="L372" s="312">
        <v>0</v>
      </c>
      <c r="M372" s="332"/>
      <c r="N372" s="244"/>
      <c r="O372" s="323"/>
      <c r="P372" s="323"/>
      <c r="Q372" s="329">
        <v>0</v>
      </c>
      <c r="R372" s="329"/>
    </row>
    <row r="373" spans="1:18" ht="15" hidden="1" customHeight="1" x14ac:dyDescent="0.2">
      <c r="A373" s="136"/>
      <c r="B373" s="9"/>
      <c r="D373" s="116" t="s">
        <v>14</v>
      </c>
      <c r="E373" s="18"/>
      <c r="F373" s="18"/>
      <c r="G373" s="329">
        <v>0</v>
      </c>
      <c r="H373" s="367"/>
      <c r="I373" s="360"/>
      <c r="J373" s="369"/>
      <c r="K373" s="369"/>
      <c r="L373" s="312">
        <v>0</v>
      </c>
      <c r="M373" s="332"/>
      <c r="N373" s="244"/>
      <c r="O373" s="323"/>
      <c r="P373" s="323"/>
      <c r="Q373" s="329">
        <v>0</v>
      </c>
      <c r="R373" s="329"/>
    </row>
    <row r="374" spans="1:18" ht="15.95" hidden="1" customHeight="1" x14ac:dyDescent="0.2">
      <c r="A374" s="136"/>
      <c r="B374" s="71">
        <v>92118</v>
      </c>
      <c r="C374" s="137" t="s">
        <v>1</v>
      </c>
      <c r="D374" s="115" t="s">
        <v>7</v>
      </c>
      <c r="E374" s="8">
        <v>0</v>
      </c>
      <c r="F374" s="8">
        <v>0</v>
      </c>
      <c r="G374" s="329">
        <v>0</v>
      </c>
      <c r="H374" s="446"/>
      <c r="I374" s="381">
        <v>0</v>
      </c>
      <c r="J374" s="375"/>
      <c r="K374" s="375"/>
      <c r="L374" s="312">
        <v>0</v>
      </c>
      <c r="M374" s="332"/>
      <c r="N374" s="379">
        <v>0</v>
      </c>
      <c r="O374" s="323"/>
      <c r="P374" s="323"/>
      <c r="Q374" s="329">
        <v>0</v>
      </c>
      <c r="R374" s="329"/>
    </row>
    <row r="375" spans="1:18" ht="15.95" hidden="1" customHeight="1" x14ac:dyDescent="0.2">
      <c r="A375" s="136"/>
      <c r="B375" s="9"/>
      <c r="D375" s="130" t="s">
        <v>8</v>
      </c>
      <c r="E375" s="18"/>
      <c r="F375" s="18"/>
      <c r="G375" s="329">
        <v>0</v>
      </c>
      <c r="H375" s="367"/>
      <c r="I375" s="360"/>
      <c r="J375" s="369"/>
      <c r="K375" s="369"/>
      <c r="L375" s="312">
        <v>0</v>
      </c>
      <c r="M375" s="332"/>
      <c r="N375" s="244"/>
      <c r="O375" s="323"/>
      <c r="P375" s="323"/>
      <c r="Q375" s="329">
        <v>0</v>
      </c>
      <c r="R375" s="329"/>
    </row>
    <row r="376" spans="1:18" ht="15.95" hidden="1" customHeight="1" x14ac:dyDescent="0.2">
      <c r="A376" s="136"/>
      <c r="B376" s="9"/>
      <c r="D376" s="116" t="s">
        <v>11</v>
      </c>
      <c r="E376" s="18">
        <v>0</v>
      </c>
      <c r="F376" s="18"/>
      <c r="G376" s="329">
        <v>0</v>
      </c>
      <c r="H376" s="367"/>
      <c r="I376" s="360"/>
      <c r="J376" s="369"/>
      <c r="K376" s="369"/>
      <c r="L376" s="312">
        <v>0</v>
      </c>
      <c r="M376" s="332"/>
      <c r="N376" s="244"/>
      <c r="O376" s="323"/>
      <c r="P376" s="323"/>
      <c r="Q376" s="329">
        <v>0</v>
      </c>
      <c r="R376" s="329"/>
    </row>
    <row r="377" spans="1:18" ht="17.25" customHeight="1" x14ac:dyDescent="0.2">
      <c r="A377" s="136"/>
      <c r="B377" s="71">
        <v>92120</v>
      </c>
      <c r="C377" s="137" t="s">
        <v>73</v>
      </c>
      <c r="D377" s="115" t="s">
        <v>7</v>
      </c>
      <c r="E377" s="8">
        <f>SUM(E379)</f>
        <v>4800000</v>
      </c>
      <c r="F377" s="8">
        <v>0</v>
      </c>
      <c r="G377" s="318">
        <f>SUM(G379)</f>
        <v>4800000</v>
      </c>
      <c r="H377" s="318">
        <f>SUM(H379)</f>
        <v>4800000</v>
      </c>
      <c r="I377" s="381">
        <f t="shared" ref="I377:R377" si="207">SUM(I379)</f>
        <v>0</v>
      </c>
      <c r="J377" s="375">
        <f t="shared" si="207"/>
        <v>0</v>
      </c>
      <c r="K377" s="375">
        <f t="shared" si="207"/>
        <v>0</v>
      </c>
      <c r="L377" s="336">
        <f t="shared" si="207"/>
        <v>0</v>
      </c>
      <c r="M377" s="337"/>
      <c r="N377" s="379">
        <f t="shared" si="207"/>
        <v>4800000</v>
      </c>
      <c r="O377" s="318">
        <f t="shared" si="207"/>
        <v>200000</v>
      </c>
      <c r="P377" s="318">
        <f t="shared" si="207"/>
        <v>200000</v>
      </c>
      <c r="Q377" s="318">
        <f t="shared" si="207"/>
        <v>4800000</v>
      </c>
      <c r="R377" s="318">
        <f t="shared" si="207"/>
        <v>4800000</v>
      </c>
    </row>
    <row r="378" spans="1:18" ht="18.75" customHeight="1" x14ac:dyDescent="0.2">
      <c r="A378" s="136"/>
      <c r="B378" s="9"/>
      <c r="D378" s="130" t="s">
        <v>8</v>
      </c>
      <c r="E378" s="18"/>
      <c r="F378" s="18"/>
      <c r="G378" s="329"/>
      <c r="H378" s="367"/>
      <c r="I378" s="360"/>
      <c r="J378" s="369"/>
      <c r="K378" s="369"/>
      <c r="L378" s="312">
        <v>0</v>
      </c>
      <c r="M378" s="332"/>
      <c r="N378" s="244"/>
      <c r="O378" s="323"/>
      <c r="P378" s="323"/>
      <c r="Q378" s="329"/>
      <c r="R378" s="329"/>
    </row>
    <row r="379" spans="1:18" ht="18.75" customHeight="1" x14ac:dyDescent="0.2">
      <c r="A379" s="158"/>
      <c r="B379" s="11"/>
      <c r="C379" s="138"/>
      <c r="D379" s="123" t="s">
        <v>11</v>
      </c>
      <c r="E379" s="89">
        <f>SUM(I379,N379)</f>
        <v>4800000</v>
      </c>
      <c r="F379" s="89"/>
      <c r="G379" s="351">
        <f>SUM(L379,Q379)</f>
        <v>4800000</v>
      </c>
      <c r="H379" s="373">
        <f>SUM(M379,R379)</f>
        <v>4800000</v>
      </c>
      <c r="I379" s="387"/>
      <c r="J379" s="388"/>
      <c r="K379" s="388"/>
      <c r="L379" s="353">
        <v>0</v>
      </c>
      <c r="M379" s="247"/>
      <c r="N379" s="374">
        <v>4800000</v>
      </c>
      <c r="O379" s="351">
        <f>150000+50000</f>
        <v>200000</v>
      </c>
      <c r="P379" s="351">
        <v>200000</v>
      </c>
      <c r="Q379" s="351">
        <f>SUM(N379-O379+P379)</f>
        <v>4800000</v>
      </c>
      <c r="R379" s="351">
        <v>4800000</v>
      </c>
    </row>
    <row r="380" spans="1:18" ht="19.5" hidden="1" customHeight="1" x14ac:dyDescent="0.2">
      <c r="A380" s="302"/>
      <c r="B380" s="291">
        <v>92195</v>
      </c>
      <c r="C380" s="303" t="s">
        <v>13</v>
      </c>
      <c r="D380" s="296" t="s">
        <v>7</v>
      </c>
      <c r="E380" s="213">
        <f>SUM(E382)</f>
        <v>0</v>
      </c>
      <c r="F380" s="213"/>
      <c r="G380" s="407">
        <f>SUM(G382)</f>
        <v>0</v>
      </c>
      <c r="H380" s="451"/>
      <c r="I380" s="414"/>
      <c r="J380" s="452"/>
      <c r="K380" s="452"/>
      <c r="L380" s="453"/>
      <c r="M380" s="454"/>
      <c r="N380" s="416">
        <f>SUM(N382)</f>
        <v>0</v>
      </c>
      <c r="O380" s="407">
        <f t="shared" ref="O380:Q380" si="208">SUM(O382)</f>
        <v>0</v>
      </c>
      <c r="P380" s="407">
        <f t="shared" si="208"/>
        <v>0</v>
      </c>
      <c r="Q380" s="407">
        <f t="shared" si="208"/>
        <v>0</v>
      </c>
      <c r="R380" s="407"/>
    </row>
    <row r="381" spans="1:18" ht="19.5" hidden="1" customHeight="1" x14ac:dyDescent="0.2">
      <c r="A381" s="302"/>
      <c r="B381" s="291"/>
      <c r="C381" s="303"/>
      <c r="D381" s="296" t="s">
        <v>8</v>
      </c>
      <c r="E381" s="213"/>
      <c r="F381" s="213"/>
      <c r="G381" s="407"/>
      <c r="H381" s="451"/>
      <c r="I381" s="414"/>
      <c r="J381" s="452"/>
      <c r="K381" s="452"/>
      <c r="L381" s="453"/>
      <c r="M381" s="454"/>
      <c r="N381" s="416"/>
      <c r="O381" s="407"/>
      <c r="P381" s="407"/>
      <c r="Q381" s="407"/>
      <c r="R381" s="407"/>
    </row>
    <row r="382" spans="1:18" ht="19.5" hidden="1" customHeight="1" thickBot="1" x14ac:dyDescent="0.25">
      <c r="A382" s="302"/>
      <c r="B382" s="291"/>
      <c r="C382" s="303"/>
      <c r="D382" s="296" t="s">
        <v>14</v>
      </c>
      <c r="E382" s="213">
        <f>SUM(I382,N382)</f>
        <v>0</v>
      </c>
      <c r="F382" s="213"/>
      <c r="G382" s="407">
        <f>SUM(L382,Q382)</f>
        <v>0</v>
      </c>
      <c r="H382" s="451"/>
      <c r="I382" s="414"/>
      <c r="J382" s="452"/>
      <c r="K382" s="452"/>
      <c r="L382" s="453"/>
      <c r="M382" s="454"/>
      <c r="N382" s="416"/>
      <c r="O382" s="407"/>
      <c r="P382" s="407"/>
      <c r="Q382" s="407">
        <f>SUM(N382-O382+P382)</f>
        <v>0</v>
      </c>
      <c r="R382" s="407"/>
    </row>
    <row r="383" spans="1:18" ht="36.75" hidden="1" customHeight="1" x14ac:dyDescent="0.2">
      <c r="A383" s="304">
        <v>925</v>
      </c>
      <c r="B383" s="291"/>
      <c r="C383" s="305" t="s">
        <v>103</v>
      </c>
      <c r="D383" s="306" t="s">
        <v>7</v>
      </c>
      <c r="E383" s="307">
        <f>SUM(E385)</f>
        <v>0</v>
      </c>
      <c r="F383" s="307"/>
      <c r="G383" s="455">
        <f>SUM(G385)</f>
        <v>0</v>
      </c>
      <c r="H383" s="456"/>
      <c r="I383" s="457">
        <f>SUM(I385)</f>
        <v>0</v>
      </c>
      <c r="J383" s="458">
        <f t="shared" ref="J383:Q383" si="209">SUM(J385)</f>
        <v>0</v>
      </c>
      <c r="K383" s="458">
        <f t="shared" si="209"/>
        <v>0</v>
      </c>
      <c r="L383" s="459">
        <f t="shared" si="209"/>
        <v>0</v>
      </c>
      <c r="M383" s="460"/>
      <c r="N383" s="461">
        <f t="shared" si="209"/>
        <v>0</v>
      </c>
      <c r="O383" s="455">
        <f t="shared" si="209"/>
        <v>0</v>
      </c>
      <c r="P383" s="455">
        <f t="shared" si="209"/>
        <v>0</v>
      </c>
      <c r="Q383" s="455">
        <f t="shared" si="209"/>
        <v>0</v>
      </c>
      <c r="R383" s="407"/>
    </row>
    <row r="384" spans="1:18" ht="19.5" hidden="1" customHeight="1" x14ac:dyDescent="0.2">
      <c r="A384" s="302"/>
      <c r="B384" s="291"/>
      <c r="C384" s="303"/>
      <c r="D384" s="296" t="s">
        <v>8</v>
      </c>
      <c r="E384" s="213"/>
      <c r="F384" s="213"/>
      <c r="G384" s="407"/>
      <c r="H384" s="451"/>
      <c r="I384" s="414"/>
      <c r="J384" s="452"/>
      <c r="K384" s="452"/>
      <c r="L384" s="453"/>
      <c r="M384" s="454"/>
      <c r="N384" s="416"/>
      <c r="O384" s="407"/>
      <c r="P384" s="407"/>
      <c r="Q384" s="407"/>
      <c r="R384" s="407"/>
    </row>
    <row r="385" spans="1:18" ht="19.5" hidden="1" customHeight="1" x14ac:dyDescent="0.2">
      <c r="A385" s="302"/>
      <c r="B385" s="291"/>
      <c r="C385" s="303"/>
      <c r="D385" s="296" t="s">
        <v>11</v>
      </c>
      <c r="E385" s="213">
        <f>SUM(E388)</f>
        <v>0</v>
      </c>
      <c r="F385" s="213"/>
      <c r="G385" s="407">
        <f>SUM(G388)</f>
        <v>0</v>
      </c>
      <c r="H385" s="451"/>
      <c r="I385" s="414">
        <f>SUM(I388)</f>
        <v>0</v>
      </c>
      <c r="J385" s="452">
        <f t="shared" ref="J385:Q385" si="210">SUM(J388)</f>
        <v>0</v>
      </c>
      <c r="K385" s="452">
        <f t="shared" si="210"/>
        <v>0</v>
      </c>
      <c r="L385" s="453">
        <f t="shared" si="210"/>
        <v>0</v>
      </c>
      <c r="M385" s="454"/>
      <c r="N385" s="416">
        <f t="shared" si="210"/>
        <v>0</v>
      </c>
      <c r="O385" s="407">
        <f t="shared" si="210"/>
        <v>0</v>
      </c>
      <c r="P385" s="407">
        <f t="shared" si="210"/>
        <v>0</v>
      </c>
      <c r="Q385" s="407">
        <f t="shared" si="210"/>
        <v>0</v>
      </c>
      <c r="R385" s="407"/>
    </row>
    <row r="386" spans="1:18" ht="19.5" hidden="1" customHeight="1" x14ac:dyDescent="0.2">
      <c r="A386" s="302"/>
      <c r="B386" s="291">
        <v>92504</v>
      </c>
      <c r="C386" s="303" t="s">
        <v>117</v>
      </c>
      <c r="D386" s="296" t="s">
        <v>7</v>
      </c>
      <c r="E386" s="213">
        <f>SUM(E388)</f>
        <v>0</v>
      </c>
      <c r="F386" s="213"/>
      <c r="G386" s="407">
        <f>SUM(G388)</f>
        <v>0</v>
      </c>
      <c r="H386" s="451"/>
      <c r="I386" s="414">
        <f>SUM(I388)</f>
        <v>0</v>
      </c>
      <c r="J386" s="452">
        <f t="shared" ref="J386:Q386" si="211">SUM(J388)</f>
        <v>0</v>
      </c>
      <c r="K386" s="452">
        <f t="shared" si="211"/>
        <v>0</v>
      </c>
      <c r="L386" s="453">
        <f t="shared" si="211"/>
        <v>0</v>
      </c>
      <c r="M386" s="454"/>
      <c r="N386" s="416">
        <f t="shared" si="211"/>
        <v>0</v>
      </c>
      <c r="O386" s="407">
        <f t="shared" si="211"/>
        <v>0</v>
      </c>
      <c r="P386" s="407">
        <f t="shared" si="211"/>
        <v>0</v>
      </c>
      <c r="Q386" s="407">
        <f t="shared" si="211"/>
        <v>0</v>
      </c>
      <c r="R386" s="407"/>
    </row>
    <row r="387" spans="1:18" ht="19.5" hidden="1" customHeight="1" x14ac:dyDescent="0.2">
      <c r="A387" s="302"/>
      <c r="B387" s="291"/>
      <c r="C387" s="303"/>
      <c r="D387" s="296" t="s">
        <v>8</v>
      </c>
      <c r="E387" s="213"/>
      <c r="F387" s="213"/>
      <c r="G387" s="407"/>
      <c r="H387" s="451"/>
      <c r="I387" s="414"/>
      <c r="J387" s="452"/>
      <c r="K387" s="452"/>
      <c r="L387" s="453"/>
      <c r="M387" s="454"/>
      <c r="N387" s="416"/>
      <c r="O387" s="407"/>
      <c r="P387" s="407"/>
      <c r="Q387" s="407"/>
      <c r="R387" s="407"/>
    </row>
    <row r="388" spans="1:18" ht="19.5" hidden="1" customHeight="1" thickBot="1" x14ac:dyDescent="0.25">
      <c r="A388" s="302"/>
      <c r="B388" s="291"/>
      <c r="C388" s="303"/>
      <c r="D388" s="296" t="s">
        <v>11</v>
      </c>
      <c r="E388" s="213">
        <f>SUM(I388,N388)</f>
        <v>0</v>
      </c>
      <c r="F388" s="213"/>
      <c r="G388" s="407">
        <f>SUM(L388,Q388)</f>
        <v>0</v>
      </c>
      <c r="H388" s="451"/>
      <c r="I388" s="414"/>
      <c r="J388" s="452"/>
      <c r="K388" s="452"/>
      <c r="L388" s="453"/>
      <c r="M388" s="454"/>
      <c r="N388" s="416"/>
      <c r="O388" s="407"/>
      <c r="P388" s="407"/>
      <c r="Q388" s="407">
        <f>SUM(N388-O388+P388)</f>
        <v>0</v>
      </c>
      <c r="R388" s="407"/>
    </row>
    <row r="389" spans="1:18" ht="15.75" customHeight="1" x14ac:dyDescent="0.2">
      <c r="A389" s="299">
        <v>926</v>
      </c>
      <c r="B389" s="71"/>
      <c r="C389" s="300" t="s">
        <v>127</v>
      </c>
      <c r="D389" s="301" t="s">
        <v>7</v>
      </c>
      <c r="E389" s="160">
        <f>SUM(E391)</f>
        <v>70000000</v>
      </c>
      <c r="F389" s="160">
        <v>0</v>
      </c>
      <c r="G389" s="366">
        <f>SUM(G391)</f>
        <v>68724000</v>
      </c>
      <c r="H389" s="366">
        <f>SUM(H391)</f>
        <v>68724000</v>
      </c>
      <c r="I389" s="440">
        <f t="shared" ref="I389:Q389" si="212">SUM(I391)</f>
        <v>0</v>
      </c>
      <c r="J389" s="462">
        <f>SUM(J391)</f>
        <v>0</v>
      </c>
      <c r="K389" s="462">
        <f t="shared" si="212"/>
        <v>0</v>
      </c>
      <c r="L389" s="463">
        <f t="shared" si="212"/>
        <v>0</v>
      </c>
      <c r="M389" s="439"/>
      <c r="N389" s="436">
        <f t="shared" si="212"/>
        <v>70000000</v>
      </c>
      <c r="O389" s="366">
        <f t="shared" si="212"/>
        <v>1471000</v>
      </c>
      <c r="P389" s="366">
        <f t="shared" si="212"/>
        <v>195000</v>
      </c>
      <c r="Q389" s="366">
        <f t="shared" si="212"/>
        <v>68724000</v>
      </c>
      <c r="R389" s="366">
        <f t="shared" ref="R389" si="213">SUM(R391)</f>
        <v>68724000</v>
      </c>
    </row>
    <row r="390" spans="1:18" ht="12.75" customHeight="1" x14ac:dyDescent="0.2">
      <c r="A390" s="308"/>
      <c r="B390" s="9"/>
      <c r="D390" s="130" t="s">
        <v>8</v>
      </c>
      <c r="E390" s="18"/>
      <c r="F390" s="18"/>
      <c r="G390" s="329"/>
      <c r="H390" s="329"/>
      <c r="I390" s="360"/>
      <c r="J390" s="369"/>
      <c r="K390" s="369"/>
      <c r="L390" s="425"/>
      <c r="M390" s="442"/>
      <c r="N390" s="244"/>
      <c r="O390" s="329"/>
      <c r="P390" s="329"/>
      <c r="Q390" s="329"/>
      <c r="R390" s="329"/>
    </row>
    <row r="391" spans="1:18" ht="15" customHeight="1" x14ac:dyDescent="0.2">
      <c r="A391" s="136"/>
      <c r="B391" s="9"/>
      <c r="D391" s="116" t="s">
        <v>11</v>
      </c>
      <c r="E391" s="22">
        <f>SUM(E401)</f>
        <v>70000000</v>
      </c>
      <c r="F391" s="22">
        <v>0</v>
      </c>
      <c r="G391" s="329">
        <f>SUM(G401)</f>
        <v>68724000</v>
      </c>
      <c r="H391" s="329">
        <f>SUM(H401)</f>
        <v>68724000</v>
      </c>
      <c r="I391" s="331">
        <f t="shared" ref="I391:P391" si="214">SUM(I401)</f>
        <v>0</v>
      </c>
      <c r="J391" s="403">
        <f t="shared" si="214"/>
        <v>0</v>
      </c>
      <c r="K391" s="403">
        <f t="shared" si="214"/>
        <v>0</v>
      </c>
      <c r="L391" s="312">
        <f t="shared" si="214"/>
        <v>0</v>
      </c>
      <c r="M391" s="431"/>
      <c r="N391" s="333">
        <f t="shared" si="214"/>
        <v>70000000</v>
      </c>
      <c r="O391" s="329">
        <f t="shared" si="214"/>
        <v>1471000</v>
      </c>
      <c r="P391" s="329">
        <f t="shared" si="214"/>
        <v>195000</v>
      </c>
      <c r="Q391" s="329">
        <f>SUM(Q401)</f>
        <v>68724000</v>
      </c>
      <c r="R391" s="329">
        <f>SUM(R401)</f>
        <v>68724000</v>
      </c>
    </row>
    <row r="392" spans="1:18" ht="15" hidden="1" customHeight="1" x14ac:dyDescent="0.2">
      <c r="A392" s="9"/>
      <c r="B392" s="9"/>
      <c r="D392" s="116" t="s">
        <v>14</v>
      </c>
      <c r="E392" s="22">
        <v>0</v>
      </c>
      <c r="F392" s="22">
        <v>0</v>
      </c>
      <c r="G392" s="329">
        <v>0</v>
      </c>
      <c r="H392" s="329">
        <v>0</v>
      </c>
      <c r="I392" s="331">
        <v>0</v>
      </c>
      <c r="J392" s="403">
        <v>0</v>
      </c>
      <c r="K392" s="403">
        <v>0</v>
      </c>
      <c r="L392" s="312">
        <v>0</v>
      </c>
      <c r="M392" s="431"/>
      <c r="N392" s="333">
        <v>0</v>
      </c>
      <c r="O392" s="329">
        <v>0</v>
      </c>
      <c r="P392" s="329">
        <v>0</v>
      </c>
      <c r="Q392" s="329">
        <v>0</v>
      </c>
      <c r="R392" s="329">
        <v>0</v>
      </c>
    </row>
    <row r="393" spans="1:18" ht="15.75" hidden="1" customHeight="1" x14ac:dyDescent="0.2">
      <c r="A393" s="136"/>
      <c r="B393" s="71">
        <v>92601</v>
      </c>
      <c r="C393" s="137" t="s">
        <v>74</v>
      </c>
      <c r="D393" s="115" t="s">
        <v>7</v>
      </c>
      <c r="E393" s="207">
        <v>0</v>
      </c>
      <c r="F393" s="207">
        <v>0</v>
      </c>
      <c r="G393" s="329">
        <v>0</v>
      </c>
      <c r="H393" s="329">
        <v>0</v>
      </c>
      <c r="I393" s="334">
        <v>0</v>
      </c>
      <c r="J393" s="420">
        <v>0</v>
      </c>
      <c r="K393" s="420">
        <v>0</v>
      </c>
      <c r="L393" s="312">
        <v>0</v>
      </c>
      <c r="M393" s="431"/>
      <c r="N393" s="342">
        <v>0</v>
      </c>
      <c r="O393" s="329">
        <v>0</v>
      </c>
      <c r="P393" s="329">
        <v>0</v>
      </c>
      <c r="Q393" s="329">
        <v>0</v>
      </c>
      <c r="R393" s="329">
        <v>0</v>
      </c>
    </row>
    <row r="394" spans="1:18" ht="13.5" hidden="1" customHeight="1" x14ac:dyDescent="0.2">
      <c r="A394" s="136"/>
      <c r="B394" s="9"/>
      <c r="D394" s="130" t="s">
        <v>8</v>
      </c>
      <c r="E394" s="18"/>
      <c r="F394" s="18"/>
      <c r="G394" s="329"/>
      <c r="H394" s="329"/>
      <c r="I394" s="360"/>
      <c r="J394" s="369"/>
      <c r="K394" s="369"/>
      <c r="L394" s="312"/>
      <c r="M394" s="332"/>
      <c r="N394" s="244"/>
      <c r="O394" s="329"/>
      <c r="P394" s="329"/>
      <c r="Q394" s="329"/>
      <c r="R394" s="329"/>
    </row>
    <row r="395" spans="1:18" ht="15" hidden="1" customHeight="1" x14ac:dyDescent="0.2">
      <c r="A395" s="136"/>
      <c r="B395" s="11"/>
      <c r="C395" s="138"/>
      <c r="D395" s="123" t="s">
        <v>11</v>
      </c>
      <c r="E395" s="18"/>
      <c r="F395" s="18"/>
      <c r="G395" s="329"/>
      <c r="H395" s="329"/>
      <c r="I395" s="360"/>
      <c r="J395" s="369"/>
      <c r="K395" s="369"/>
      <c r="L395" s="312"/>
      <c r="M395" s="332"/>
      <c r="N395" s="244"/>
      <c r="O395" s="329"/>
      <c r="P395" s="329"/>
      <c r="Q395" s="329"/>
      <c r="R395" s="329"/>
    </row>
    <row r="396" spans="1:18" ht="15" hidden="1" customHeight="1" x14ac:dyDescent="0.2">
      <c r="A396" s="136"/>
      <c r="B396" s="9">
        <v>92604</v>
      </c>
      <c r="C396" s="135" t="s">
        <v>78</v>
      </c>
      <c r="D396" s="134" t="s">
        <v>7</v>
      </c>
      <c r="E396" s="8">
        <v>0</v>
      </c>
      <c r="F396" s="8">
        <v>0</v>
      </c>
      <c r="G396" s="329">
        <v>0</v>
      </c>
      <c r="H396" s="329">
        <v>0</v>
      </c>
      <c r="I396" s="381">
        <v>0</v>
      </c>
      <c r="J396" s="375">
        <v>0</v>
      </c>
      <c r="K396" s="375">
        <v>0</v>
      </c>
      <c r="L396" s="312">
        <v>0</v>
      </c>
      <c r="M396" s="332"/>
      <c r="N396" s="379">
        <v>0</v>
      </c>
      <c r="O396" s="329">
        <v>0</v>
      </c>
      <c r="P396" s="329">
        <v>0</v>
      </c>
      <c r="Q396" s="329">
        <v>0</v>
      </c>
      <c r="R396" s="329">
        <v>0</v>
      </c>
    </row>
    <row r="397" spans="1:18" ht="15" hidden="1" customHeight="1" x14ac:dyDescent="0.2">
      <c r="A397" s="136"/>
      <c r="B397" s="9"/>
      <c r="D397" s="130" t="s">
        <v>8</v>
      </c>
      <c r="E397" s="105"/>
      <c r="F397" s="105"/>
      <c r="G397" s="329"/>
      <c r="H397" s="329"/>
      <c r="I397" s="360"/>
      <c r="J397" s="394"/>
      <c r="K397" s="394"/>
      <c r="L397" s="312"/>
      <c r="M397" s="431"/>
      <c r="N397" s="244"/>
      <c r="O397" s="329"/>
      <c r="P397" s="329"/>
      <c r="Q397" s="329"/>
      <c r="R397" s="329"/>
    </row>
    <row r="398" spans="1:18" ht="15" hidden="1" customHeight="1" x14ac:dyDescent="0.2">
      <c r="A398" s="136"/>
      <c r="B398" s="9"/>
      <c r="D398" s="116" t="s">
        <v>14</v>
      </c>
      <c r="E398" s="105"/>
      <c r="F398" s="105"/>
      <c r="G398" s="329"/>
      <c r="H398" s="329"/>
      <c r="I398" s="360"/>
      <c r="J398" s="394"/>
      <c r="K398" s="394"/>
      <c r="L398" s="312"/>
      <c r="M398" s="431"/>
      <c r="N398" s="244"/>
      <c r="O398" s="329"/>
      <c r="P398" s="329"/>
      <c r="Q398" s="329"/>
      <c r="R398" s="329"/>
    </row>
    <row r="399" spans="1:18" ht="15" customHeight="1" x14ac:dyDescent="0.2">
      <c r="A399" s="136"/>
      <c r="B399" s="71">
        <v>92605</v>
      </c>
      <c r="C399" s="137" t="s">
        <v>128</v>
      </c>
      <c r="D399" s="115" t="s">
        <v>7</v>
      </c>
      <c r="E399" s="207">
        <f>SUM(E401)</f>
        <v>70000000</v>
      </c>
      <c r="F399" s="207">
        <v>0</v>
      </c>
      <c r="G399" s="318">
        <f>SUM(G401)</f>
        <v>68724000</v>
      </c>
      <c r="H399" s="318">
        <f>SUM(H401)</f>
        <v>68724000</v>
      </c>
      <c r="I399" s="334">
        <f t="shared" ref="I399:Q399" si="215">SUM(I401)</f>
        <v>0</v>
      </c>
      <c r="J399" s="420">
        <f t="shared" si="215"/>
        <v>0</v>
      </c>
      <c r="K399" s="420">
        <f t="shared" si="215"/>
        <v>0</v>
      </c>
      <c r="L399" s="336">
        <f t="shared" si="215"/>
        <v>0</v>
      </c>
      <c r="M399" s="433"/>
      <c r="N399" s="342">
        <f t="shared" si="215"/>
        <v>70000000</v>
      </c>
      <c r="O399" s="318">
        <f t="shared" si="215"/>
        <v>1471000</v>
      </c>
      <c r="P399" s="318">
        <f t="shared" si="215"/>
        <v>195000</v>
      </c>
      <c r="Q399" s="318">
        <f t="shared" si="215"/>
        <v>68724000</v>
      </c>
      <c r="R399" s="318">
        <f t="shared" ref="R399" si="216">SUM(R401)</f>
        <v>68724000</v>
      </c>
    </row>
    <row r="400" spans="1:18" ht="13.5" customHeight="1" x14ac:dyDescent="0.2">
      <c r="A400" s="136"/>
      <c r="B400" s="9"/>
      <c r="D400" s="130" t="s">
        <v>8</v>
      </c>
      <c r="E400" s="18"/>
      <c r="F400" s="18"/>
      <c r="G400" s="329"/>
      <c r="H400" s="367"/>
      <c r="I400" s="360"/>
      <c r="J400" s="369"/>
      <c r="K400" s="369"/>
      <c r="L400" s="312"/>
      <c r="M400" s="332"/>
      <c r="N400" s="244"/>
      <c r="O400" s="329"/>
      <c r="P400" s="329"/>
      <c r="Q400" s="329"/>
      <c r="R400" s="329"/>
    </row>
    <row r="401" spans="1:19" ht="18.75" customHeight="1" x14ac:dyDescent="0.2">
      <c r="A401" s="308"/>
      <c r="B401" s="11"/>
      <c r="C401" s="138"/>
      <c r="D401" s="123" t="s">
        <v>11</v>
      </c>
      <c r="E401" s="89">
        <f>SUM(I401,N401)</f>
        <v>70000000</v>
      </c>
      <c r="F401" s="89"/>
      <c r="G401" s="329">
        <f>SUM(L401,Q401)</f>
        <v>68724000</v>
      </c>
      <c r="H401" s="373">
        <f>SUM(M401,R401)</f>
        <v>68724000</v>
      </c>
      <c r="I401" s="387"/>
      <c r="J401" s="388"/>
      <c r="K401" s="388"/>
      <c r="L401" s="314">
        <v>0</v>
      </c>
      <c r="M401" s="431"/>
      <c r="N401" s="374">
        <v>70000000</v>
      </c>
      <c r="O401" s="329">
        <f>1460000+1000+10000</f>
        <v>1471000</v>
      </c>
      <c r="P401" s="329">
        <f>125000+30000+40000</f>
        <v>195000</v>
      </c>
      <c r="Q401" s="329">
        <f>SUM(N401-O401+P401)</f>
        <v>68724000</v>
      </c>
      <c r="R401" s="329">
        <v>68724000</v>
      </c>
    </row>
    <row r="402" spans="1:19" ht="17.25" hidden="1" customHeight="1" x14ac:dyDescent="0.2">
      <c r="A402" s="11"/>
      <c r="B402" s="9">
        <v>92695</v>
      </c>
      <c r="C402" s="135" t="s">
        <v>13</v>
      </c>
      <c r="D402" s="134" t="s">
        <v>7</v>
      </c>
      <c r="E402" s="18"/>
      <c r="F402" s="18"/>
      <c r="G402" s="329"/>
      <c r="H402" s="367"/>
      <c r="I402" s="244"/>
      <c r="J402" s="323"/>
      <c r="K402" s="323"/>
      <c r="L402" s="329"/>
      <c r="M402" s="368"/>
      <c r="N402" s="244"/>
      <c r="O402" s="323"/>
      <c r="P402" s="323"/>
      <c r="Q402" s="329">
        <v>0</v>
      </c>
      <c r="R402" s="329"/>
    </row>
    <row r="403" spans="1:19" ht="19.5" hidden="1" customHeight="1" x14ac:dyDescent="0.2">
      <c r="A403" s="136"/>
      <c r="B403" s="9"/>
      <c r="D403" s="130" t="s">
        <v>8</v>
      </c>
      <c r="E403" s="18"/>
      <c r="F403" s="18"/>
      <c r="G403" s="329"/>
      <c r="H403" s="367"/>
      <c r="I403" s="244"/>
      <c r="J403" s="323"/>
      <c r="K403" s="323"/>
      <c r="L403" s="329"/>
      <c r="M403" s="368"/>
      <c r="N403" s="244"/>
      <c r="O403" s="323"/>
      <c r="P403" s="323"/>
      <c r="Q403" s="329">
        <v>0</v>
      </c>
      <c r="R403" s="329"/>
    </row>
    <row r="404" spans="1:19" ht="14.25" hidden="1" customHeight="1" x14ac:dyDescent="0.2">
      <c r="A404" s="136"/>
      <c r="B404" s="9"/>
      <c r="D404" s="116" t="s">
        <v>11</v>
      </c>
      <c r="E404" s="18"/>
      <c r="F404" s="18"/>
      <c r="G404" s="329"/>
      <c r="H404" s="367"/>
      <c r="I404" s="244"/>
      <c r="J404" s="323"/>
      <c r="K404" s="323"/>
      <c r="L404" s="329"/>
      <c r="M404" s="368"/>
      <c r="N404" s="244"/>
      <c r="O404" s="323"/>
      <c r="P404" s="323"/>
      <c r="Q404" s="329">
        <v>0</v>
      </c>
      <c r="R404" s="329"/>
    </row>
    <row r="405" spans="1:19" ht="15.95" customHeight="1" x14ac:dyDescent="0.2">
      <c r="A405" s="309"/>
      <c r="B405" s="159"/>
      <c r="D405" s="100" t="s">
        <v>2</v>
      </c>
      <c r="E405" s="160">
        <f>SUM(E407:E408)</f>
        <v>810727513</v>
      </c>
      <c r="F405" s="160">
        <v>0</v>
      </c>
      <c r="G405" s="438">
        <f>SUM(G407:G408)</f>
        <v>1026805462.37</v>
      </c>
      <c r="H405" s="438">
        <f>SUM(H407:H408)</f>
        <v>1008714685.7700001</v>
      </c>
      <c r="I405" s="436">
        <f t="shared" ref="I405:Q405" si="217">SUM(I407:I408)</f>
        <v>552333684</v>
      </c>
      <c r="J405" s="438">
        <f t="shared" si="217"/>
        <v>34532226</v>
      </c>
      <c r="K405" s="438">
        <f t="shared" si="217"/>
        <v>202639161</v>
      </c>
      <c r="L405" s="438">
        <f t="shared" si="217"/>
        <v>720440619</v>
      </c>
      <c r="M405" s="464">
        <f t="shared" ref="M405" si="218">SUM(M407:M408)</f>
        <v>717883572.05999994</v>
      </c>
      <c r="N405" s="436">
        <f t="shared" si="217"/>
        <v>258393829</v>
      </c>
      <c r="O405" s="438">
        <f t="shared" si="217"/>
        <v>34790641.519999996</v>
      </c>
      <c r="P405" s="438">
        <f t="shared" si="217"/>
        <v>82761655.890000015</v>
      </c>
      <c r="Q405" s="438">
        <f t="shared" si="217"/>
        <v>306364843.37</v>
      </c>
      <c r="R405" s="438">
        <f t="shared" ref="R405" si="219">SUM(R407:R408)</f>
        <v>290831113.70999998</v>
      </c>
    </row>
    <row r="406" spans="1:19" ht="15.95" customHeight="1" x14ac:dyDescent="0.2">
      <c r="A406" s="161"/>
      <c r="B406" s="162"/>
      <c r="C406" s="163"/>
      <c r="D406" s="99" t="s">
        <v>8</v>
      </c>
      <c r="E406" s="18"/>
      <c r="F406" s="18"/>
      <c r="G406" s="329"/>
      <c r="H406" s="329"/>
      <c r="I406" s="244"/>
      <c r="J406" s="329"/>
      <c r="K406" s="329"/>
      <c r="L406" s="329"/>
      <c r="M406" s="368"/>
      <c r="N406" s="244"/>
      <c r="O406" s="329"/>
      <c r="P406" s="329"/>
      <c r="Q406" s="329"/>
      <c r="R406" s="329"/>
    </row>
    <row r="407" spans="1:19" ht="15.95" customHeight="1" x14ac:dyDescent="0.2">
      <c r="A407" s="136"/>
      <c r="B407" s="162"/>
      <c r="C407" s="163"/>
      <c r="D407" s="99" t="s">
        <v>20</v>
      </c>
      <c r="E407" s="22">
        <f t="shared" ref="E407:P407" si="220">SUM(E24,E59,E151,E188,E247,E273,E340,E361,E391,E314,E385,E39)</f>
        <v>635366628</v>
      </c>
      <c r="F407" s="22">
        <f t="shared" si="220"/>
        <v>0</v>
      </c>
      <c r="G407" s="361">
        <f>SUM(G24,G59,G151,G188,G247,G273,G340,G361,G391,G314,G385,G39)</f>
        <v>815385862.33000004</v>
      </c>
      <c r="H407" s="361">
        <f>SUM(H24,H59,H151,H188,H247,H273,H340,H361,H391,H314,H385,H39)</f>
        <v>799409374.66000009</v>
      </c>
      <c r="I407" s="333">
        <f t="shared" si="220"/>
        <v>404064240</v>
      </c>
      <c r="J407" s="361">
        <f t="shared" si="220"/>
        <v>23077560</v>
      </c>
      <c r="K407" s="361">
        <f t="shared" si="220"/>
        <v>159848000</v>
      </c>
      <c r="L407" s="361">
        <f t="shared" si="220"/>
        <v>540834680</v>
      </c>
      <c r="M407" s="332">
        <f>SUM(M24,M59,M151,M188,M247,M273,M340,M361,M391,M314,M385,M39)</f>
        <v>539674063.77999997</v>
      </c>
      <c r="N407" s="333">
        <f>SUM(N24,N59,N151,N188,N247,N273,N340,N361,N391,N314,N385,N39)</f>
        <v>231302388</v>
      </c>
      <c r="O407" s="361">
        <f t="shared" si="220"/>
        <v>30579810.849999998</v>
      </c>
      <c r="P407" s="361">
        <f t="shared" si="220"/>
        <v>73828605.180000007</v>
      </c>
      <c r="Q407" s="361">
        <f>SUM(Q24,Q59,Q151,Q188,Q247,Q273,Q340,Q361,Q391,Q314,Q385,Q39)</f>
        <v>274551182.32999998</v>
      </c>
      <c r="R407" s="361">
        <f>SUM(R24,R59,R151,R188,R247,R273,R340,R361,R391,R314,R385,R39)</f>
        <v>259735310.88</v>
      </c>
    </row>
    <row r="408" spans="1:19" s="174" customFormat="1" ht="18.75" customHeight="1" x14ac:dyDescent="0.2">
      <c r="A408" s="158"/>
      <c r="B408" s="164"/>
      <c r="C408" s="165"/>
      <c r="D408" s="166" t="s">
        <v>23</v>
      </c>
      <c r="E408" s="25">
        <f>SUM(E60,E152,E189,E248,E274,E341,E53,E315)</f>
        <v>175360885</v>
      </c>
      <c r="F408" s="25">
        <v>0</v>
      </c>
      <c r="G408" s="155">
        <f>SUM(G60,G152,G189,G248,G274,G341,G53,G315,G362)</f>
        <v>211419600.03999999</v>
      </c>
      <c r="H408" s="155">
        <f>SUM(H60,H152,H189,H248,H274,H341,H53,H315,H362)</f>
        <v>209305311.11000001</v>
      </c>
      <c r="I408" s="246">
        <f t="shared" ref="I408:L408" si="221">SUM(I60,I152,I189,I248,I274,I341,I53,I315)</f>
        <v>148269444</v>
      </c>
      <c r="J408" s="155">
        <f t="shared" si="221"/>
        <v>11454666</v>
      </c>
      <c r="K408" s="155">
        <f t="shared" si="221"/>
        <v>42791161</v>
      </c>
      <c r="L408" s="155">
        <f t="shared" si="221"/>
        <v>179605939</v>
      </c>
      <c r="M408" s="247">
        <f t="shared" ref="M408" si="222">SUM(M60,M152,M189,M248,M274,M341,M53,M315)</f>
        <v>178209508.27999997</v>
      </c>
      <c r="N408" s="246">
        <f>SUM(N60,N152,N189,N248,N274,N341,N53,N315,N362)</f>
        <v>27091441</v>
      </c>
      <c r="O408" s="155">
        <f t="shared" ref="O408:Q408" si="223">SUM(O60,O152,O189,O248,O274,O341,O53,O315,O362)</f>
        <v>4210830.67</v>
      </c>
      <c r="P408" s="155">
        <f t="shared" si="223"/>
        <v>8933050.7100000009</v>
      </c>
      <c r="Q408" s="155">
        <f t="shared" si="223"/>
        <v>31813661.039999999</v>
      </c>
      <c r="R408" s="155">
        <f t="shared" ref="R408" si="224">SUM(R60,R152,R189,R248,R274,R341,R53,R315,R362)</f>
        <v>31095802.829999998</v>
      </c>
      <c r="S408" s="167"/>
    </row>
    <row r="409" spans="1:19" s="174" customFormat="1" ht="15.75" customHeight="1" x14ac:dyDescent="0.2">
      <c r="A409" s="135"/>
      <c r="B409" s="162"/>
      <c r="C409" s="175"/>
      <c r="D409" s="176"/>
      <c r="E409" s="176"/>
      <c r="F409" s="176"/>
      <c r="G409" s="176"/>
      <c r="H409" s="176"/>
      <c r="I409" s="176"/>
      <c r="J409" s="176"/>
      <c r="K409" s="176"/>
      <c r="L409" s="176"/>
      <c r="M409" s="176"/>
      <c r="N409" s="176"/>
      <c r="O409" s="176"/>
      <c r="P409" s="176"/>
      <c r="Q409" s="176"/>
      <c r="R409" s="176"/>
    </row>
    <row r="410" spans="1:19" s="174" customFormat="1" ht="15.75" hidden="1" customHeight="1" x14ac:dyDescent="0.2">
      <c r="A410" s="162"/>
      <c r="B410" s="162"/>
      <c r="C410" s="175"/>
      <c r="D410" s="176"/>
      <c r="E410" s="176"/>
    </row>
    <row r="411" spans="1:19" s="174" customFormat="1" ht="15.75" hidden="1" customHeight="1" x14ac:dyDescent="0.2">
      <c r="A411" s="162"/>
      <c r="B411" s="162"/>
      <c r="C411" s="175"/>
      <c r="D411" s="176" t="s">
        <v>75</v>
      </c>
      <c r="E411" s="176">
        <f>SUM(E14,E22,E37,E57,E149,E186,E245,E271,E359,E389,E7)</f>
        <v>737683180</v>
      </c>
      <c r="F411" s="176">
        <f>SUM(F14,F22,F37,F57,F149,F186,F245,F271,F359,F389,F7)</f>
        <v>0</v>
      </c>
      <c r="G411" s="176"/>
      <c r="H411" s="176"/>
      <c r="I411" s="176">
        <f>SUM(I14,I22,I37,I57,I149,I186,I245,I271,I359,I389,I7)</f>
        <v>552333684</v>
      </c>
      <c r="J411" s="176"/>
      <c r="K411" s="176"/>
      <c r="L411" s="176"/>
      <c r="M411" s="176"/>
      <c r="N411" s="176">
        <f>SUM(N14,N22,N37,N57,N149,N186,N245,N271,N359,N389,N7)</f>
        <v>185349496</v>
      </c>
    </row>
    <row r="412" spans="1:19" hidden="1" x14ac:dyDescent="0.2">
      <c r="A412" s="162"/>
      <c r="D412" s="177" t="s">
        <v>76</v>
      </c>
      <c r="E412" s="178">
        <f>E405-E411</f>
        <v>73044333</v>
      </c>
      <c r="F412" s="178">
        <f>F405-F411</f>
        <v>0</v>
      </c>
      <c r="G412" s="178"/>
      <c r="H412" s="178"/>
      <c r="I412" s="178">
        <f>I405-I411</f>
        <v>0</v>
      </c>
      <c r="J412" s="178"/>
      <c r="K412" s="178"/>
      <c r="L412" s="178"/>
      <c r="M412" s="178"/>
      <c r="N412" s="178">
        <f>N405-N411</f>
        <v>73044333</v>
      </c>
    </row>
    <row r="413" spans="1:19" ht="18" hidden="1" customHeight="1" x14ac:dyDescent="0.2">
      <c r="A413" s="179"/>
      <c r="B413" s="179"/>
      <c r="C413" s="179"/>
      <c r="D413" s="180" t="s">
        <v>85</v>
      </c>
      <c r="E413" s="178">
        <f>SUM(E22,E57,E149,E186,E245,E271,E338,E359,E389,E51,E312,E37,E383)</f>
        <v>810727513</v>
      </c>
      <c r="F413" s="178">
        <f>SUM(F22,F57,F149,F186,F245,F271,F338,F359,F389,F51,F312,F37)</f>
        <v>0</v>
      </c>
      <c r="G413" s="178"/>
      <c r="H413" s="178"/>
      <c r="I413" s="178">
        <f t="shared" ref="I413:Q413" si="225">SUM(I22,I57,I149,I186,I245,I271,I338,I359,I389,I51,I312,I37,I383)</f>
        <v>552333684</v>
      </c>
      <c r="J413" s="178">
        <f t="shared" si="225"/>
        <v>34532226</v>
      </c>
      <c r="K413" s="178">
        <f t="shared" si="225"/>
        <v>202639161</v>
      </c>
      <c r="L413" s="178">
        <f t="shared" si="225"/>
        <v>720440619</v>
      </c>
      <c r="M413" s="178"/>
      <c r="N413" s="178">
        <f t="shared" si="225"/>
        <v>258393829</v>
      </c>
      <c r="O413" s="178">
        <f t="shared" si="225"/>
        <v>34790641.519999996</v>
      </c>
      <c r="P413" s="178">
        <f t="shared" si="225"/>
        <v>82761655.890000001</v>
      </c>
      <c r="Q413" s="178">
        <f t="shared" si="225"/>
        <v>306364843.37</v>
      </c>
      <c r="R413" s="178">
        <f>SUM(G22,G57,G149,G186,G245,G271,G338,G359,G389,G51,G312,G37,G383)</f>
        <v>1026805462.3700001</v>
      </c>
    </row>
    <row r="414" spans="1:19" ht="18" hidden="1" customHeight="1" x14ac:dyDescent="0.2">
      <c r="A414" s="179"/>
      <c r="B414" s="179"/>
      <c r="C414" s="179"/>
      <c r="D414" s="181" t="s">
        <v>76</v>
      </c>
      <c r="E414" s="182">
        <f>SUM(E405)-E413</f>
        <v>0</v>
      </c>
      <c r="F414" s="182">
        <f t="shared" ref="F414:Q414" si="226">SUM(F405)-F413</f>
        <v>0</v>
      </c>
      <c r="G414" s="182"/>
      <c r="H414" s="182"/>
      <c r="I414" s="182">
        <f t="shared" si="226"/>
        <v>0</v>
      </c>
      <c r="J414" s="182">
        <f t="shared" si="226"/>
        <v>0</v>
      </c>
      <c r="K414" s="182">
        <f t="shared" si="226"/>
        <v>0</v>
      </c>
      <c r="L414" s="182">
        <f t="shared" si="226"/>
        <v>0</v>
      </c>
      <c r="M414" s="182"/>
      <c r="N414" s="182">
        <f t="shared" si="226"/>
        <v>0</v>
      </c>
      <c r="O414" s="182">
        <f t="shared" si="226"/>
        <v>0</v>
      </c>
      <c r="P414" s="182">
        <f>SUM(P405)-P413</f>
        <v>0</v>
      </c>
      <c r="Q414" s="182">
        <f t="shared" si="226"/>
        <v>0</v>
      </c>
      <c r="R414" s="182">
        <f>SUM(G405)-R413</f>
        <v>0</v>
      </c>
    </row>
    <row r="415" spans="1:19" ht="18" hidden="1" customHeight="1" x14ac:dyDescent="0.2">
      <c r="A415" s="179"/>
      <c r="B415" s="179"/>
      <c r="C415" s="179"/>
      <c r="D415" s="183"/>
    </row>
    <row r="416" spans="1:19" ht="18" hidden="1" customHeight="1" x14ac:dyDescent="0.2">
      <c r="D416" s="184" t="s">
        <v>2</v>
      </c>
      <c r="E416" s="185">
        <f>SUM(E22,E57,E149,E186,E245,E271,E338,E359,E389,E51,E312,E37,E383)</f>
        <v>810727513</v>
      </c>
      <c r="F416" s="185">
        <f>SUM(F22,F57,F149,F186,F245,F271,F338,F359,F389)</f>
        <v>0</v>
      </c>
      <c r="G416" s="185"/>
      <c r="H416" s="185"/>
      <c r="I416" s="185">
        <f t="shared" ref="I416:Q416" si="227">SUM(I22,I57,I149,I186,I245,I271,I338,I359,I389,I51,I312,I37,I383)</f>
        <v>552333684</v>
      </c>
      <c r="J416" s="185">
        <f t="shared" si="227"/>
        <v>34532226</v>
      </c>
      <c r="K416" s="185">
        <f t="shared" si="227"/>
        <v>202639161</v>
      </c>
      <c r="L416" s="185">
        <f t="shared" si="227"/>
        <v>720440619</v>
      </c>
      <c r="M416" s="185"/>
      <c r="N416" s="185">
        <f t="shared" si="227"/>
        <v>258393829</v>
      </c>
      <c r="O416" s="185">
        <f t="shared" si="227"/>
        <v>34790641.519999996</v>
      </c>
      <c r="P416" s="185">
        <f t="shared" si="227"/>
        <v>82761655.890000001</v>
      </c>
      <c r="Q416" s="185">
        <f t="shared" si="227"/>
        <v>306364843.37</v>
      </c>
      <c r="R416" s="185">
        <f>SUM(G22,G57,G149,G186,G245,G271,G338,G359,G389,G51,G312,G37,G383)</f>
        <v>1026805462.3700001</v>
      </c>
    </row>
    <row r="417" spans="4:18" ht="18" hidden="1" customHeight="1" x14ac:dyDescent="0.2">
      <c r="D417" s="180" t="s">
        <v>20</v>
      </c>
      <c r="E417" s="178">
        <f>SUM(E391,E361,E340,E273,E247,E188,E151,E59,E24,E314,E39,E385)</f>
        <v>635366628</v>
      </c>
      <c r="F417" s="178">
        <f>SUM(F391,F361,F340,F273,F247,F188,F151,F59,F24,F314,F39)</f>
        <v>0</v>
      </c>
      <c r="G417" s="178"/>
      <c r="H417" s="178"/>
      <c r="I417" s="178">
        <f t="shared" ref="I417:Q417" si="228">SUM(I391,I361,I340,I273,I247,I188,I151,I59,I24,I314,I39,I385)</f>
        <v>404064240</v>
      </c>
      <c r="J417" s="178">
        <f t="shared" si="228"/>
        <v>23077560</v>
      </c>
      <c r="K417" s="178">
        <f t="shared" si="228"/>
        <v>159848000</v>
      </c>
      <c r="L417" s="178">
        <f t="shared" si="228"/>
        <v>540834680</v>
      </c>
      <c r="M417" s="178"/>
      <c r="N417" s="178">
        <f t="shared" si="228"/>
        <v>231302388</v>
      </c>
      <c r="O417" s="178">
        <f t="shared" si="228"/>
        <v>30579810.849999998</v>
      </c>
      <c r="P417" s="178">
        <f t="shared" si="228"/>
        <v>73828605.180000007</v>
      </c>
      <c r="Q417" s="178">
        <f t="shared" si="228"/>
        <v>274551182.33000004</v>
      </c>
      <c r="R417" s="178">
        <f>SUM(G391,G361,G340,G273,G247,G188,G151,G59,G24,G314,G39,G385)</f>
        <v>815385862.33000004</v>
      </c>
    </row>
    <row r="418" spans="4:18" ht="18" hidden="1" customHeight="1" x14ac:dyDescent="0.2">
      <c r="D418" s="180" t="s">
        <v>23</v>
      </c>
      <c r="E418" s="178">
        <f>SUM(E274,E248,E189,E152,E60,E341,E53,E315)</f>
        <v>175360885</v>
      </c>
      <c r="F418" s="178">
        <f>SUM(F274,F248,F189,F152,F60)</f>
        <v>0</v>
      </c>
      <c r="G418" s="178"/>
      <c r="H418" s="178"/>
      <c r="I418" s="178">
        <f t="shared" ref="I418:L418" si="229">SUM(I274,I248,I189,I152,I60,I341,I53,I315)</f>
        <v>148269444</v>
      </c>
      <c r="J418" s="178">
        <f t="shared" si="229"/>
        <v>11454666</v>
      </c>
      <c r="K418" s="178">
        <f t="shared" si="229"/>
        <v>42791161</v>
      </c>
      <c r="L418" s="178">
        <f t="shared" si="229"/>
        <v>179605939</v>
      </c>
      <c r="M418" s="178"/>
      <c r="N418" s="178">
        <f>SUM(N274,N248,N189,N152,N60,N341,N53,N315,N362)</f>
        <v>27091441</v>
      </c>
      <c r="O418" s="178">
        <f t="shared" ref="O418:Q418" si="230">SUM(O274,O248,O189,O152,O60,O341,O53,O315,O362)</f>
        <v>4210830.67</v>
      </c>
      <c r="P418" s="178">
        <f t="shared" si="230"/>
        <v>8933050.709999999</v>
      </c>
      <c r="Q418" s="178">
        <f t="shared" si="230"/>
        <v>31813661.039999999</v>
      </c>
      <c r="R418" s="178">
        <f>SUM(G274,G248,G189,G152,G60,G341,G53,G315,G362)</f>
        <v>211419600.03999999</v>
      </c>
    </row>
    <row r="419" spans="4:18" ht="18" hidden="1" customHeight="1" x14ac:dyDescent="0.2">
      <c r="D419" s="181" t="s">
        <v>76</v>
      </c>
      <c r="E419" s="182">
        <f>E416-SUM(E417:E418)</f>
        <v>0</v>
      </c>
      <c r="F419" s="182">
        <f t="shared" ref="F419:R419" si="231">F416-SUM(F417:F418)</f>
        <v>0</v>
      </c>
      <c r="G419" s="182"/>
      <c r="H419" s="182"/>
      <c r="I419" s="182">
        <f t="shared" si="231"/>
        <v>0</v>
      </c>
      <c r="J419" s="182">
        <f t="shared" si="231"/>
        <v>0</v>
      </c>
      <c r="K419" s="182">
        <f t="shared" si="231"/>
        <v>0</v>
      </c>
      <c r="L419" s="182">
        <f t="shared" si="231"/>
        <v>0</v>
      </c>
      <c r="M419" s="182"/>
      <c r="N419" s="182">
        <f>N416-SUM(N417:N418)</f>
        <v>0</v>
      </c>
      <c r="O419" s="182">
        <f t="shared" si="231"/>
        <v>0</v>
      </c>
      <c r="P419" s="182">
        <f t="shared" si="231"/>
        <v>0</v>
      </c>
      <c r="Q419" s="182">
        <f t="shared" si="231"/>
        <v>0</v>
      </c>
      <c r="R419" s="182">
        <f t="shared" si="231"/>
        <v>0</v>
      </c>
    </row>
    <row r="420" spans="4:18" ht="18" hidden="1" customHeight="1" x14ac:dyDescent="0.2"/>
    <row r="421" spans="4:18" ht="18" hidden="1" customHeight="1" x14ac:dyDescent="0.2">
      <c r="D421" s="181" t="s">
        <v>2</v>
      </c>
      <c r="E421" s="182">
        <f>SUM(E405-E416)</f>
        <v>0</v>
      </c>
      <c r="F421" s="182">
        <f t="shared" ref="F421:Q421" si="232">SUM(F405-F416)</f>
        <v>0</v>
      </c>
      <c r="G421" s="182"/>
      <c r="H421" s="182"/>
      <c r="I421" s="182">
        <f t="shared" si="232"/>
        <v>0</v>
      </c>
      <c r="J421" s="182">
        <f t="shared" si="232"/>
        <v>0</v>
      </c>
      <c r="K421" s="182">
        <f t="shared" si="232"/>
        <v>0</v>
      </c>
      <c r="L421" s="182">
        <f t="shared" si="232"/>
        <v>0</v>
      </c>
      <c r="M421" s="182"/>
      <c r="N421" s="182">
        <f>SUM(N405-N416)</f>
        <v>0</v>
      </c>
      <c r="O421" s="182">
        <f t="shared" si="232"/>
        <v>0</v>
      </c>
      <c r="P421" s="182">
        <f t="shared" si="232"/>
        <v>1.4901161193847656E-8</v>
      </c>
      <c r="Q421" s="182">
        <f t="shared" si="232"/>
        <v>0</v>
      </c>
      <c r="R421" s="182">
        <f>SUM(G405-R416)</f>
        <v>-1.1920928955078125E-7</v>
      </c>
    </row>
    <row r="422" spans="4:18" ht="18" hidden="1" customHeight="1" x14ac:dyDescent="0.2">
      <c r="D422" s="186" t="s">
        <v>20</v>
      </c>
      <c r="E422" s="187">
        <f>SUM(E407-E417)</f>
        <v>0</v>
      </c>
      <c r="F422" s="187">
        <f t="shared" ref="F422:Q422" si="233">SUM(F407-F417)</f>
        <v>0</v>
      </c>
      <c r="G422" s="187"/>
      <c r="H422" s="187"/>
      <c r="I422" s="187">
        <f t="shared" si="233"/>
        <v>0</v>
      </c>
      <c r="J422" s="187">
        <f t="shared" si="233"/>
        <v>0</v>
      </c>
      <c r="K422" s="187">
        <f t="shared" si="233"/>
        <v>0</v>
      </c>
      <c r="L422" s="187">
        <f t="shared" si="233"/>
        <v>0</v>
      </c>
      <c r="M422" s="187"/>
      <c r="N422" s="187">
        <f t="shared" si="233"/>
        <v>0</v>
      </c>
      <c r="O422" s="187">
        <f t="shared" si="233"/>
        <v>0</v>
      </c>
      <c r="P422" s="187">
        <f>SUM(P407-P417)</f>
        <v>0</v>
      </c>
      <c r="Q422" s="187">
        <f t="shared" si="233"/>
        <v>-5.9604644775390625E-8</v>
      </c>
      <c r="R422" s="187">
        <f>SUM(G407-R417)</f>
        <v>0</v>
      </c>
    </row>
    <row r="423" spans="4:18" ht="18" hidden="1" customHeight="1" x14ac:dyDescent="0.2">
      <c r="D423" s="186" t="s">
        <v>23</v>
      </c>
      <c r="E423" s="187">
        <f>SUM(E408-E418)</f>
        <v>0</v>
      </c>
      <c r="F423" s="187">
        <f t="shared" ref="F423:Q423" si="234">SUM(F408-F418)</f>
        <v>0</v>
      </c>
      <c r="G423" s="187"/>
      <c r="H423" s="187"/>
      <c r="I423" s="187">
        <f t="shared" si="234"/>
        <v>0</v>
      </c>
      <c r="J423" s="187">
        <f t="shared" si="234"/>
        <v>0</v>
      </c>
      <c r="K423" s="187">
        <f t="shared" si="234"/>
        <v>0</v>
      </c>
      <c r="L423" s="187">
        <f t="shared" si="234"/>
        <v>0</v>
      </c>
      <c r="M423" s="187"/>
      <c r="N423" s="187">
        <f t="shared" si="234"/>
        <v>0</v>
      </c>
      <c r="O423" s="187">
        <f t="shared" si="234"/>
        <v>0</v>
      </c>
      <c r="P423" s="187">
        <f t="shared" si="234"/>
        <v>1.862645149230957E-9</v>
      </c>
      <c r="Q423" s="187">
        <f t="shared" si="234"/>
        <v>0</v>
      </c>
      <c r="R423" s="187">
        <f>SUM(G408-R418)</f>
        <v>0</v>
      </c>
    </row>
    <row r="424" spans="4:18" hidden="1" x14ac:dyDescent="0.2">
      <c r="D424" s="310" t="s">
        <v>121</v>
      </c>
      <c r="E424" s="319"/>
      <c r="F424" s="319">
        <f t="shared" ref="F424:H424" si="235">SUM(F425:F426)</f>
        <v>0</v>
      </c>
      <c r="G424" s="320">
        <f t="shared" si="235"/>
        <v>736750592.31000006</v>
      </c>
      <c r="H424" s="320">
        <f t="shared" si="235"/>
        <v>732819372.69999993</v>
      </c>
    </row>
    <row r="425" spans="4:18" hidden="1" x14ac:dyDescent="0.2">
      <c r="D425" s="4" t="s">
        <v>119</v>
      </c>
      <c r="G425" s="321">
        <f>SUM(G24,G42,G45,G59,G161,G170,G184,G208,G212,G226,G234,G242,G259,G263,G273,G333,G336,G361,G391)</f>
        <v>691802174.33000004</v>
      </c>
      <c r="H425" s="321">
        <f>SUM(H24,H42,H45,H59,H161,H170,H184,H208,H212,H226,H234,H242,H259,H263,H273,H333,H336,H361,H391)</f>
        <v>687920406.66999996</v>
      </c>
    </row>
    <row r="426" spans="4:18" hidden="1" x14ac:dyDescent="0.2">
      <c r="D426" s="4" t="s">
        <v>120</v>
      </c>
      <c r="G426" s="321">
        <f>SUM(G53,G58,G152,G209,G220,G227,G248,G274,G315)</f>
        <v>44948417.979999989</v>
      </c>
      <c r="H426" s="321">
        <f>SUM(H53,H58,H152,H209,H220,H227,H248,H274,H315)</f>
        <v>44898966.030000001</v>
      </c>
    </row>
    <row r="427" spans="4:18" hidden="1" x14ac:dyDescent="0.2">
      <c r="D427" s="4"/>
      <c r="G427" s="322"/>
      <c r="H427" s="322"/>
    </row>
    <row r="428" spans="4:18" ht="24" hidden="1" x14ac:dyDescent="0.2">
      <c r="D428" s="311" t="s">
        <v>122</v>
      </c>
      <c r="E428" s="319"/>
      <c r="F428" s="319">
        <f t="shared" ref="F428:H428" si="236">SUM(F429:G430)</f>
        <v>290054870.06</v>
      </c>
      <c r="G428" s="320">
        <f t="shared" si="236"/>
        <v>565950183.13000011</v>
      </c>
      <c r="H428" s="320">
        <f t="shared" si="236"/>
        <v>275895313.07000017</v>
      </c>
    </row>
    <row r="429" spans="4:18" hidden="1" x14ac:dyDescent="0.2">
      <c r="D429" s="4" t="s">
        <v>119</v>
      </c>
      <c r="F429" s="167">
        <f t="shared" ref="F429:G429" si="237">SUM(F407-F425)</f>
        <v>0</v>
      </c>
      <c r="G429" s="321">
        <f t="shared" si="237"/>
        <v>123583688</v>
      </c>
      <c r="H429" s="321">
        <f t="shared" ref="H429" si="238">SUM(H407-H425)</f>
        <v>111488967.99000013</v>
      </c>
    </row>
    <row r="430" spans="4:18" hidden="1" x14ac:dyDescent="0.2">
      <c r="D430" s="4" t="s">
        <v>120</v>
      </c>
      <c r="F430" s="167">
        <f t="shared" ref="F430:G430" si="239">SUM(F408-F426)</f>
        <v>0</v>
      </c>
      <c r="G430" s="321">
        <f t="shared" si="239"/>
        <v>166471182.06</v>
      </c>
      <c r="H430" s="321">
        <f t="shared" ref="H430" si="240">SUM(H408-H426)</f>
        <v>164406345.08000001</v>
      </c>
    </row>
  </sheetData>
  <mergeCells count="10">
    <mergeCell ref="E3:G3"/>
    <mergeCell ref="E4:E5"/>
    <mergeCell ref="G4:G5"/>
    <mergeCell ref="H3:H5"/>
    <mergeCell ref="N3:R3"/>
    <mergeCell ref="I4:L4"/>
    <mergeCell ref="M4:M5"/>
    <mergeCell ref="R4:R5"/>
    <mergeCell ref="N4:Q4"/>
    <mergeCell ref="I3:M3"/>
  </mergeCells>
  <phoneticPr fontId="2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54" orientation="landscape" r:id="rId1"/>
  <headerFooter alignWithMargins="0"/>
  <rowBreaks count="4" manualBreakCount="4">
    <brk id="100" max="17" man="1"/>
    <brk id="158" max="17" man="1"/>
    <brk id="270" max="17" man="1"/>
    <brk id="388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 6.2</vt:lpstr>
      <vt:lpstr>'zał 6.2'!Obszar_wydruku</vt:lpstr>
      <vt:lpstr>'zał 6.2'!Tytuły_wydruku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tylekto</dc:creator>
  <cp:lastModifiedBy>Żulik Zbigniew</cp:lastModifiedBy>
  <cp:lastPrinted>2024-03-29T09:11:09Z</cp:lastPrinted>
  <dcterms:created xsi:type="dcterms:W3CDTF">2005-02-01T10:29:59Z</dcterms:created>
  <dcterms:modified xsi:type="dcterms:W3CDTF">2024-03-29T09:11:32Z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-1248353709</vt:i4>
  </property>
  <property fmtid="{D5CDD505-2E9C-101B-9397-08002B2CF9AE}" pid="3" name="_EmailSubject">
    <vt:lpwstr>Załączniki do uw 2007</vt:lpwstr>
  </property>
  <property fmtid="{D5CDD505-2E9C-101B-9397-08002B2CF9AE}" pid="4" name="_AuthorEmail">
    <vt:lpwstr>salajama@ws_nt7.umk</vt:lpwstr>
  </property>
  <property fmtid="{D5CDD505-2E9C-101B-9397-08002B2CF9AE}" pid="5" name="_AuthorEmailDisplayName">
    <vt:lpwstr>Sałaja Magdalena</vt:lpwstr>
  </property>
  <property fmtid="{D5CDD505-2E9C-101B-9397-08002B2CF9AE}" pid="6" name="_PreviousAdHocReviewCycleID">
    <vt:i4>1836655754</vt:i4>
  </property>
  <property fmtid="{D5CDD505-2E9C-101B-9397-08002B2CF9AE}" pid="7" name="_ReviewingToolsShownOnce">
    <vt:lpwstr/>
  </property>
</Properties>
</file>